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comments4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企画財政課\財政係\10予算決算\02決算\★主要施策成果報告書（執行成果概要）\R07\"/>
    </mc:Choice>
  </mc:AlternateContent>
  <bookViews>
    <workbookView xWindow="0" yWindow="0" windowWidth="20490" windowHeight="7050" activeTab="1"/>
  </bookViews>
  <sheets>
    <sheet name="リスト" sheetId="27" r:id="rId1"/>
    <sheet name="R07決算" sheetId="26" r:id="rId2"/>
    <sheet name="R07決算内訳" sheetId="25" r:id="rId3"/>
    <sheet name="以下参考⇒" sheetId="8" r:id="rId4"/>
    <sheet name="R06決算" sheetId="23" r:id="rId5"/>
    <sheet name="R06決算内訳" sheetId="24" r:id="rId6"/>
    <sheet name="R05決算" sheetId="22" r:id="rId7"/>
    <sheet name="R05決算内訳" sheetId="21" r:id="rId8"/>
    <sheet name="R04決算" sheetId="19" r:id="rId9"/>
    <sheet name="R04決算内訳" sheetId="20" r:id="rId10"/>
    <sheet name="R03決算" sheetId="16" r:id="rId11"/>
    <sheet name="R03決算内訳" sheetId="15" r:id="rId12"/>
    <sheet name="R02決算" sheetId="17" r:id="rId13"/>
    <sheet name="R02決算内訳" sheetId="18" r:id="rId14"/>
    <sheet name="R01決算" sheetId="13" r:id="rId15"/>
    <sheet name="R01決算内訳" sheetId="14" r:id="rId16"/>
    <sheet name="H30決算" sheetId="12" r:id="rId17"/>
    <sheet name="H30決算内訳" sheetId="11" r:id="rId18"/>
    <sheet name="H29決算" sheetId="10" r:id="rId19"/>
    <sheet name="H29決算内訳" sheetId="9" r:id="rId20"/>
    <sheet name="H28決算" sheetId="6" r:id="rId21"/>
    <sheet name="H28決算内訳" sheetId="7" r:id="rId22"/>
    <sheet name="Sheet3" sheetId="3" r:id="rId23"/>
  </sheets>
  <definedNames>
    <definedName name="_xlnm.Print_Area" localSheetId="20">H28決算!$A$1:$L$27</definedName>
    <definedName name="_xlnm.Print_Area" localSheetId="18">H29決算!$A$1:$J$25</definedName>
    <definedName name="_xlnm.Print_Area" localSheetId="16">H30決算!$A$1:$J$25</definedName>
    <definedName name="_xlnm.Print_Area" localSheetId="14">'R01決算'!$A$1:$J$25</definedName>
    <definedName name="_xlnm.Print_Area" localSheetId="12">'R02決算'!$A$1:$J$25</definedName>
    <definedName name="_xlnm.Print_Area" localSheetId="10">'R03決算'!$A$1:$J$25</definedName>
    <definedName name="_xlnm.Print_Area" localSheetId="8">'R04決算'!$A$1:$J$25</definedName>
    <definedName name="_xlnm.Print_Area" localSheetId="6">'R05決算'!$A$1:$K$25</definedName>
    <definedName name="_xlnm.Print_Area" localSheetId="4">'R06決算'!$A$1:$K$25</definedName>
    <definedName name="_xlnm.Print_Area" localSheetId="1">'R07決算'!$C$2:$M$26</definedName>
    <definedName name="_xlnm.Print_Area" localSheetId="2">'R07決算内訳'!$A$2:$K$56</definedName>
    <definedName name="見出し">'R07決算内訳'!$A$4:$J$4</definedName>
    <definedName name="年度">リスト!$B$2:$B$50</definedName>
    <definedName name="年度２">リスト!$C$2:$C$51</definedName>
    <definedName name="列">リスト!$E$2:$E$53</definedName>
  </definedNames>
  <calcPr calcId="162913"/>
</workbook>
</file>

<file path=xl/calcChain.xml><?xml version="1.0" encoding="utf-8"?>
<calcChain xmlns="http://schemas.openxmlformats.org/spreadsheetml/2006/main">
  <c r="I56" i="25" l="1"/>
  <c r="H56" i="25" l="1"/>
  <c r="G56" i="25"/>
  <c r="F56" i="25"/>
  <c r="D56" i="25"/>
  <c r="K1" i="26"/>
  <c r="A7" i="26"/>
  <c r="H1" i="26"/>
  <c r="I1" i="26"/>
  <c r="J1" i="26"/>
  <c r="G1" i="26"/>
  <c r="A17" i="26"/>
  <c r="A18" i="26"/>
  <c r="A19" i="26"/>
  <c r="A21" i="26"/>
  <c r="A22" i="26"/>
  <c r="A23" i="26"/>
  <c r="A14" i="26"/>
  <c r="A15" i="26"/>
  <c r="A13" i="26"/>
  <c r="A1" i="26"/>
  <c r="A2" i="26"/>
  <c r="E52" i="27"/>
  <c r="E53" i="27"/>
  <c r="E5" i="27"/>
  <c r="E6" i="27"/>
  <c r="E7" i="27"/>
  <c r="E8" i="27"/>
  <c r="E9" i="27"/>
  <c r="E10" i="27"/>
  <c r="E11" i="27"/>
  <c r="E12" i="27"/>
  <c r="E13" i="27"/>
  <c r="E14" i="27"/>
  <c r="E15" i="27"/>
  <c r="E16" i="27"/>
  <c r="E17" i="27"/>
  <c r="E18" i="27"/>
  <c r="E19" i="27"/>
  <c r="E20" i="27"/>
  <c r="E21" i="27"/>
  <c r="E22" i="27"/>
  <c r="E23" i="27"/>
  <c r="E24" i="27"/>
  <c r="E25" i="27"/>
  <c r="E26" i="27"/>
  <c r="E27" i="27"/>
  <c r="E28" i="27"/>
  <c r="E29" i="27"/>
  <c r="E30" i="27"/>
  <c r="E31" i="27"/>
  <c r="E32" i="27"/>
  <c r="E33" i="27"/>
  <c r="E34" i="27"/>
  <c r="E35" i="27"/>
  <c r="E36" i="27"/>
  <c r="E37" i="27"/>
  <c r="E38" i="27"/>
  <c r="E39" i="27"/>
  <c r="E40" i="27"/>
  <c r="E41" i="27"/>
  <c r="E42" i="27"/>
  <c r="E43" i="27"/>
  <c r="E44" i="27"/>
  <c r="E45" i="27"/>
  <c r="E46" i="27"/>
  <c r="E47" i="27"/>
  <c r="E48" i="27"/>
  <c r="E49" i="27"/>
  <c r="E50" i="27"/>
  <c r="E51" i="27"/>
  <c r="E4" i="27"/>
  <c r="E3" i="27"/>
  <c r="E2" i="27"/>
  <c r="C1" i="26" l="1"/>
  <c r="D1" i="26" s="1"/>
  <c r="A1" i="25"/>
  <c r="B1" i="25" s="1"/>
  <c r="A2" i="25" s="1"/>
  <c r="D2" i="26" l="1"/>
  <c r="B1" i="26"/>
  <c r="G11" i="26"/>
  <c r="B17" i="26"/>
  <c r="B22" i="26"/>
  <c r="B21" i="26"/>
  <c r="B13" i="26"/>
  <c r="B7" i="26"/>
  <c r="B18" i="26"/>
  <c r="B23" i="26"/>
  <c r="B19" i="26"/>
  <c r="B28" i="26" l="1"/>
  <c r="I54" i="25"/>
  <c r="I53" i="25"/>
  <c r="I52" i="25"/>
  <c r="I51" i="25"/>
  <c r="J50" i="25"/>
  <c r="H50" i="25"/>
  <c r="G50" i="25"/>
  <c r="G42" i="25" s="1"/>
  <c r="F50" i="25"/>
  <c r="D50" i="25"/>
  <c r="I49" i="25"/>
  <c r="I48" i="25"/>
  <c r="J47" i="25"/>
  <c r="H47" i="25"/>
  <c r="G47" i="25"/>
  <c r="F47" i="25"/>
  <c r="D47" i="25"/>
  <c r="I46" i="25"/>
  <c r="I45" i="25"/>
  <c r="I44" i="25"/>
  <c r="J43" i="25"/>
  <c r="H43" i="25"/>
  <c r="G43" i="25"/>
  <c r="F43" i="25"/>
  <c r="D43" i="25"/>
  <c r="I41" i="25"/>
  <c r="I40" i="25"/>
  <c r="J39" i="25"/>
  <c r="D39" i="25" s="1"/>
  <c r="H39" i="25"/>
  <c r="G39" i="25"/>
  <c r="F39" i="25"/>
  <c r="I38" i="25"/>
  <c r="I37" i="25" s="1"/>
  <c r="J37" i="25"/>
  <c r="D37" i="25" s="1"/>
  <c r="H37" i="25"/>
  <c r="H34" i="25" s="1"/>
  <c r="G37" i="25"/>
  <c r="F37" i="25"/>
  <c r="I36" i="25"/>
  <c r="I35" i="25" s="1"/>
  <c r="J35" i="25"/>
  <c r="H35" i="25"/>
  <c r="G35" i="25"/>
  <c r="F35" i="25"/>
  <c r="G34" i="25"/>
  <c r="I33" i="25"/>
  <c r="I32" i="25"/>
  <c r="I31" i="25"/>
  <c r="I30" i="25"/>
  <c r="I29" i="25"/>
  <c r="I28" i="25"/>
  <c r="I27" i="25"/>
  <c r="I26" i="25"/>
  <c r="J25" i="25"/>
  <c r="D25" i="25" s="1"/>
  <c r="H25" i="25"/>
  <c r="G25" i="25"/>
  <c r="F25" i="25"/>
  <c r="I24" i="25"/>
  <c r="I23" i="25"/>
  <c r="I22" i="25"/>
  <c r="I21" i="25"/>
  <c r="I20" i="25"/>
  <c r="I19" i="25"/>
  <c r="I18" i="25"/>
  <c r="I17" i="25"/>
  <c r="I16" i="25"/>
  <c r="I15" i="25"/>
  <c r="I14" i="25"/>
  <c r="I13" i="25"/>
  <c r="J12" i="25"/>
  <c r="H12" i="25"/>
  <c r="G12" i="25"/>
  <c r="F12" i="25"/>
  <c r="D12" i="25"/>
  <c r="I11" i="25"/>
  <c r="I10" i="25"/>
  <c r="I9" i="25"/>
  <c r="I8" i="25"/>
  <c r="I7" i="25"/>
  <c r="J6" i="25"/>
  <c r="D6" i="25" s="1"/>
  <c r="H6" i="25"/>
  <c r="H5" i="25" s="1"/>
  <c r="G6" i="25"/>
  <c r="F6" i="25"/>
  <c r="I8" i="24"/>
  <c r="D5" i="24"/>
  <c r="G13" i="26"/>
  <c r="I13" i="26"/>
  <c r="I19" i="26"/>
  <c r="I21" i="26"/>
  <c r="J22" i="26"/>
  <c r="H21" i="26"/>
  <c r="I23" i="26"/>
  <c r="J23" i="26"/>
  <c r="H23" i="26"/>
  <c r="H17" i="26"/>
  <c r="H13" i="26"/>
  <c r="I18" i="26"/>
  <c r="J13" i="26"/>
  <c r="G21" i="26"/>
  <c r="J17" i="26"/>
  <c r="H18" i="26"/>
  <c r="B14" i="26"/>
  <c r="J18" i="26"/>
  <c r="B15" i="26"/>
  <c r="G23" i="26"/>
  <c r="G22" i="26"/>
  <c r="I17" i="26"/>
  <c r="G19" i="26"/>
  <c r="G18" i="26"/>
  <c r="J19" i="26"/>
  <c r="J21" i="26"/>
  <c r="K7" i="26"/>
  <c r="H19" i="26"/>
  <c r="H22" i="26"/>
  <c r="G28" i="26"/>
  <c r="I22" i="26"/>
  <c r="O21" i="26" l="1"/>
  <c r="O23" i="26"/>
  <c r="O18" i="26"/>
  <c r="O19" i="26"/>
  <c r="O22" i="26"/>
  <c r="O13" i="26"/>
  <c r="F42" i="25"/>
  <c r="I39" i="25"/>
  <c r="F34" i="25"/>
  <c r="D42" i="25"/>
  <c r="J42" i="25"/>
  <c r="I50" i="25"/>
  <c r="J34" i="25"/>
  <c r="I25" i="25"/>
  <c r="H24" i="26"/>
  <c r="G24" i="26"/>
  <c r="J24" i="26"/>
  <c r="D5" i="25"/>
  <c r="I6" i="25"/>
  <c r="I47" i="25"/>
  <c r="G5" i="25"/>
  <c r="G55" i="25" s="1"/>
  <c r="I43" i="25"/>
  <c r="H42" i="25"/>
  <c r="H55" i="25" s="1"/>
  <c r="F5" i="25"/>
  <c r="I12" i="25"/>
  <c r="D35" i="25"/>
  <c r="I34" i="25"/>
  <c r="I20" i="26"/>
  <c r="J20" i="26"/>
  <c r="I24" i="26"/>
  <c r="H20" i="26"/>
  <c r="J5" i="25"/>
  <c r="J55" i="25" s="1"/>
  <c r="H27" i="23"/>
  <c r="H8" i="23" s="1"/>
  <c r="G27" i="23"/>
  <c r="F27" i="23"/>
  <c r="F8" i="23" s="1"/>
  <c r="E17" i="23"/>
  <c r="G20" i="23"/>
  <c r="G21" i="23"/>
  <c r="H21" i="23"/>
  <c r="G22" i="23"/>
  <c r="G16" i="23"/>
  <c r="H16" i="23"/>
  <c r="G17" i="23"/>
  <c r="H17" i="23"/>
  <c r="G18" i="23"/>
  <c r="H18" i="23"/>
  <c r="G12" i="23"/>
  <c r="G13" i="23"/>
  <c r="G14" i="23"/>
  <c r="F21" i="23"/>
  <c r="E22" i="23"/>
  <c r="E21" i="23"/>
  <c r="E20" i="23"/>
  <c r="E18" i="23"/>
  <c r="E16" i="23"/>
  <c r="E14" i="23"/>
  <c r="E13" i="23"/>
  <c r="E12" i="23"/>
  <c r="J42" i="24"/>
  <c r="D42" i="24" s="1"/>
  <c r="I53" i="24"/>
  <c r="I52" i="24"/>
  <c r="I51" i="24"/>
  <c r="I50" i="24"/>
  <c r="J49" i="24"/>
  <c r="D49" i="24" s="1"/>
  <c r="H49" i="24"/>
  <c r="H22" i="23" s="1"/>
  <c r="G49" i="24"/>
  <c r="F49" i="24"/>
  <c r="F22" i="23" s="1"/>
  <c r="I48" i="24"/>
  <c r="I47" i="24"/>
  <c r="J46" i="24"/>
  <c r="D46" i="24" s="1"/>
  <c r="H46" i="24"/>
  <c r="G46" i="24"/>
  <c r="F46" i="24"/>
  <c r="I45" i="24"/>
  <c r="I44" i="24"/>
  <c r="I43" i="24"/>
  <c r="H42" i="24"/>
  <c r="H20" i="23" s="1"/>
  <c r="G42" i="24"/>
  <c r="F42" i="24"/>
  <c r="F20" i="23" s="1"/>
  <c r="I40" i="24"/>
  <c r="I39" i="24"/>
  <c r="J38" i="24"/>
  <c r="D38" i="24" s="1"/>
  <c r="H38" i="24"/>
  <c r="G38" i="24"/>
  <c r="F38" i="24"/>
  <c r="F18" i="23" s="1"/>
  <c r="I37" i="24"/>
  <c r="I36" i="24" s="1"/>
  <c r="J36" i="24"/>
  <c r="H36" i="24"/>
  <c r="G36" i="24"/>
  <c r="F36" i="24"/>
  <c r="F17" i="23" s="1"/>
  <c r="D36" i="24"/>
  <c r="I35" i="24"/>
  <c r="I34" i="24" s="1"/>
  <c r="J34" i="24"/>
  <c r="D34" i="24" s="1"/>
  <c r="H34" i="24"/>
  <c r="G34" i="24"/>
  <c r="F34" i="24"/>
  <c r="F16" i="23" s="1"/>
  <c r="I32" i="24"/>
  <c r="I31" i="24"/>
  <c r="I27" i="24"/>
  <c r="I30" i="24"/>
  <c r="I28" i="24"/>
  <c r="I29" i="24"/>
  <c r="I26" i="24"/>
  <c r="I25" i="24"/>
  <c r="J24" i="24"/>
  <c r="D24" i="24" s="1"/>
  <c r="H24" i="24"/>
  <c r="H14" i="23" s="1"/>
  <c r="G24" i="24"/>
  <c r="F24" i="24"/>
  <c r="F14" i="23" s="1"/>
  <c r="I23" i="24"/>
  <c r="I22" i="24"/>
  <c r="I21" i="24"/>
  <c r="I20" i="24"/>
  <c r="I19" i="24"/>
  <c r="I18" i="24"/>
  <c r="I17" i="24"/>
  <c r="I16" i="24"/>
  <c r="I15" i="24"/>
  <c r="I14" i="24"/>
  <c r="I13" i="24"/>
  <c r="I12" i="24"/>
  <c r="J11" i="24"/>
  <c r="D11" i="24" s="1"/>
  <c r="H11" i="24"/>
  <c r="H13" i="23" s="1"/>
  <c r="G11" i="24"/>
  <c r="F11" i="24"/>
  <c r="F13" i="23" s="1"/>
  <c r="I10" i="24"/>
  <c r="I9" i="24"/>
  <c r="I7" i="24"/>
  <c r="I6" i="24"/>
  <c r="J5" i="24"/>
  <c r="H5" i="24"/>
  <c r="H12" i="23" s="1"/>
  <c r="G5" i="24"/>
  <c r="F5" i="24"/>
  <c r="F12" i="23" s="1"/>
  <c r="G23" i="23"/>
  <c r="H19" i="23"/>
  <c r="G19" i="23"/>
  <c r="I28" i="26"/>
  <c r="H14" i="26"/>
  <c r="H15" i="26"/>
  <c r="J15" i="26"/>
  <c r="I15" i="26"/>
  <c r="J28" i="26"/>
  <c r="J14" i="26"/>
  <c r="G15" i="26"/>
  <c r="I14" i="26"/>
  <c r="G17" i="26"/>
  <c r="G14" i="26"/>
  <c r="O17" i="26" l="1"/>
  <c r="O14" i="26"/>
  <c r="O15" i="26"/>
  <c r="O24" i="26"/>
  <c r="F55" i="25"/>
  <c r="I42" i="25"/>
  <c r="G20" i="26"/>
  <c r="O20" i="26" s="1"/>
  <c r="D34" i="25"/>
  <c r="D55" i="25" s="1"/>
  <c r="I5" i="25"/>
  <c r="I55" i="25" s="1"/>
  <c r="J16" i="26"/>
  <c r="J9" i="26" s="1"/>
  <c r="I16" i="26"/>
  <c r="I25" i="26" s="1"/>
  <c r="I29" i="26" s="1"/>
  <c r="H16" i="26"/>
  <c r="H25" i="26" s="1"/>
  <c r="G16" i="26"/>
  <c r="M14" i="23"/>
  <c r="H15" i="23"/>
  <c r="H24" i="23" s="1"/>
  <c r="G15" i="23"/>
  <c r="M13" i="23"/>
  <c r="H23" i="23"/>
  <c r="H41" i="24"/>
  <c r="M20" i="23"/>
  <c r="G8" i="23"/>
  <c r="M21" i="23"/>
  <c r="M17" i="23"/>
  <c r="M22" i="23"/>
  <c r="M18" i="23"/>
  <c r="M16" i="23"/>
  <c r="M12" i="23"/>
  <c r="I42" i="24"/>
  <c r="H33" i="24"/>
  <c r="G4" i="24"/>
  <c r="D41" i="24"/>
  <c r="G33" i="24"/>
  <c r="G41" i="24"/>
  <c r="I11" i="24"/>
  <c r="D33" i="24"/>
  <c r="I46" i="24"/>
  <c r="F41" i="24"/>
  <c r="I49" i="24"/>
  <c r="I38" i="24"/>
  <c r="I33" i="24" s="1"/>
  <c r="F33" i="24"/>
  <c r="I24" i="24"/>
  <c r="F4" i="24"/>
  <c r="D4" i="24"/>
  <c r="H4" i="24"/>
  <c r="H54" i="24" s="1"/>
  <c r="I5" i="24"/>
  <c r="J4" i="24"/>
  <c r="J33" i="24"/>
  <c r="J41" i="24"/>
  <c r="E15" i="23"/>
  <c r="E23" i="23"/>
  <c r="G24" i="23"/>
  <c r="F15" i="23"/>
  <c r="F19" i="23"/>
  <c r="F23" i="23"/>
  <c r="E19" i="23"/>
  <c r="H22" i="22"/>
  <c r="H12" i="22"/>
  <c r="H15" i="22" s="1"/>
  <c r="G22" i="22"/>
  <c r="G23" i="22" s="1"/>
  <c r="F22" i="22"/>
  <c r="F23" i="22" s="1"/>
  <c r="E22" i="22"/>
  <c r="G21" i="22"/>
  <c r="H21" i="22"/>
  <c r="F21" i="22"/>
  <c r="E21" i="22"/>
  <c r="G20" i="22"/>
  <c r="H20" i="22"/>
  <c r="F20" i="22"/>
  <c r="E20" i="22"/>
  <c r="E23" i="22" s="1"/>
  <c r="G18" i="22"/>
  <c r="H18" i="22"/>
  <c r="F18" i="22"/>
  <c r="E18" i="22"/>
  <c r="G17" i="22"/>
  <c r="H17" i="22"/>
  <c r="H19" i="22" s="1"/>
  <c r="F17" i="22"/>
  <c r="F19" i="22" s="1"/>
  <c r="E17" i="22"/>
  <c r="G16" i="22"/>
  <c r="G19" i="22" s="1"/>
  <c r="H16" i="22"/>
  <c r="F16" i="22"/>
  <c r="E16" i="22"/>
  <c r="E19" i="22" s="1"/>
  <c r="G14" i="22"/>
  <c r="G15" i="22" s="1"/>
  <c r="H14" i="22"/>
  <c r="F14" i="22"/>
  <c r="E14" i="22"/>
  <c r="G13" i="22"/>
  <c r="H13" i="22"/>
  <c r="F13" i="22"/>
  <c r="E13" i="22"/>
  <c r="G12" i="22"/>
  <c r="F12" i="22"/>
  <c r="E12" i="22"/>
  <c r="G27" i="22"/>
  <c r="H27" i="22"/>
  <c r="F27" i="22"/>
  <c r="I6" i="22"/>
  <c r="F54" i="21"/>
  <c r="H23" i="22"/>
  <c r="H28" i="26"/>
  <c r="O16" i="26" l="1"/>
  <c r="H29" i="26"/>
  <c r="J25" i="26"/>
  <c r="J29" i="26" s="1"/>
  <c r="I9" i="26"/>
  <c r="H9" i="26"/>
  <c r="G25" i="26"/>
  <c r="G54" i="24"/>
  <c r="M23" i="23"/>
  <c r="I4" i="24"/>
  <c r="F54" i="24"/>
  <c r="D54" i="24"/>
  <c r="I6" i="23" s="1"/>
  <c r="I41" i="24"/>
  <c r="J54" i="24"/>
  <c r="M19" i="23"/>
  <c r="M15" i="23"/>
  <c r="E24" i="23"/>
  <c r="E8" i="23" s="1"/>
  <c r="F24" i="23"/>
  <c r="H24" i="22"/>
  <c r="G24" i="22"/>
  <c r="F15" i="22"/>
  <c r="F8" i="22" s="1"/>
  <c r="E15" i="22"/>
  <c r="E24" i="22" s="1"/>
  <c r="E8" i="22" s="1"/>
  <c r="H8" i="22"/>
  <c r="G8" i="22"/>
  <c r="I30" i="21"/>
  <c r="I31" i="21"/>
  <c r="J24" i="21"/>
  <c r="D24" i="21" s="1"/>
  <c r="O25" i="26" l="1"/>
  <c r="G29" i="26"/>
  <c r="G9" i="26"/>
  <c r="I54" i="24"/>
  <c r="M24" i="23"/>
  <c r="I14" i="23" s="1"/>
  <c r="F24" i="22"/>
  <c r="M22" i="22"/>
  <c r="M21" i="22"/>
  <c r="M20" i="22"/>
  <c r="M18" i="22"/>
  <c r="M17" i="22"/>
  <c r="M16" i="22"/>
  <c r="M14" i="22"/>
  <c r="M13" i="22"/>
  <c r="M12" i="22"/>
  <c r="I53" i="21"/>
  <c r="I52" i="21"/>
  <c r="I51" i="21"/>
  <c r="I50" i="21"/>
  <c r="J49" i="21"/>
  <c r="H49" i="21"/>
  <c r="G49" i="21"/>
  <c r="F49" i="21"/>
  <c r="D49" i="21"/>
  <c r="I48" i="21"/>
  <c r="I47" i="21"/>
  <c r="J46" i="21"/>
  <c r="H46" i="21"/>
  <c r="G46" i="21"/>
  <c r="F46" i="21"/>
  <c r="D46" i="21"/>
  <c r="I45" i="21"/>
  <c r="I44" i="21"/>
  <c r="I43" i="21"/>
  <c r="J42" i="21"/>
  <c r="D42" i="21" s="1"/>
  <c r="D41" i="21" s="1"/>
  <c r="H42" i="21"/>
  <c r="G42" i="21"/>
  <c r="F42" i="21"/>
  <c r="G41" i="21"/>
  <c r="I40" i="21"/>
  <c r="I39" i="21"/>
  <c r="J38" i="21"/>
  <c r="H38" i="21"/>
  <c r="G38" i="21"/>
  <c r="F38" i="21"/>
  <c r="D38" i="21"/>
  <c r="I37" i="21"/>
  <c r="I36" i="21" s="1"/>
  <c r="J36" i="21"/>
  <c r="H36" i="21"/>
  <c r="G36" i="21"/>
  <c r="G33" i="21" s="1"/>
  <c r="F36" i="21"/>
  <c r="D36" i="21"/>
  <c r="I35" i="21"/>
  <c r="I34" i="21" s="1"/>
  <c r="J34" i="21"/>
  <c r="D34" i="21" s="1"/>
  <c r="H34" i="21"/>
  <c r="G34" i="21"/>
  <c r="F34" i="21"/>
  <c r="H33" i="21"/>
  <c r="I32" i="21"/>
  <c r="I29" i="21"/>
  <c r="I28" i="21"/>
  <c r="I27" i="21"/>
  <c r="I26" i="21"/>
  <c r="I25" i="21"/>
  <c r="H24" i="21"/>
  <c r="G24" i="21"/>
  <c r="F24" i="21"/>
  <c r="I23" i="21"/>
  <c r="I22" i="21"/>
  <c r="I21" i="21"/>
  <c r="I20" i="21"/>
  <c r="I19" i="21"/>
  <c r="I18" i="21"/>
  <c r="I17" i="21"/>
  <c r="I16" i="21"/>
  <c r="I15" i="21"/>
  <c r="I14" i="21"/>
  <c r="I13" i="21"/>
  <c r="I12" i="21"/>
  <c r="J11" i="21"/>
  <c r="D11" i="21" s="1"/>
  <c r="H11" i="21"/>
  <c r="G11" i="21"/>
  <c r="F11" i="21"/>
  <c r="I10" i="21"/>
  <c r="I9" i="21"/>
  <c r="I8" i="21"/>
  <c r="I7" i="21"/>
  <c r="I6" i="21"/>
  <c r="J5" i="21"/>
  <c r="D5" i="21" s="1"/>
  <c r="H5" i="21"/>
  <c r="G5" i="21"/>
  <c r="F5" i="21"/>
  <c r="K13" i="26" l="1"/>
  <c r="L13" i="26" s="1"/>
  <c r="K14" i="26"/>
  <c r="K15" i="26"/>
  <c r="K22" i="26"/>
  <c r="L22" i="26" s="1"/>
  <c r="K23" i="26"/>
  <c r="K19" i="26"/>
  <c r="K21" i="26"/>
  <c r="K18" i="26"/>
  <c r="K17" i="26"/>
  <c r="I22" i="23"/>
  <c r="I20" i="23"/>
  <c r="I18" i="23"/>
  <c r="I16" i="23"/>
  <c r="I12" i="23"/>
  <c r="J12" i="23" s="1"/>
  <c r="I21" i="23"/>
  <c r="I17" i="23"/>
  <c r="I13" i="23"/>
  <c r="M19" i="22"/>
  <c r="M15" i="22"/>
  <c r="G4" i="21"/>
  <c r="G54" i="21" s="1"/>
  <c r="F33" i="21"/>
  <c r="I46" i="21"/>
  <c r="I42" i="21"/>
  <c r="H41" i="21"/>
  <c r="F41" i="21"/>
  <c r="I38" i="21"/>
  <c r="I33" i="21" s="1"/>
  <c r="H4" i="21"/>
  <c r="F4" i="21"/>
  <c r="I49" i="21"/>
  <c r="D33" i="21"/>
  <c r="I24" i="21"/>
  <c r="I11" i="21"/>
  <c r="I5" i="21"/>
  <c r="M23" i="22"/>
  <c r="D4" i="21"/>
  <c r="J33" i="21"/>
  <c r="J41" i="21"/>
  <c r="J4" i="21"/>
  <c r="I13" i="19"/>
  <c r="L17" i="26" l="1"/>
  <c r="P17" i="26" s="1"/>
  <c r="L21" i="26"/>
  <c r="P21" i="26" s="1"/>
  <c r="P13" i="26"/>
  <c r="Q13" i="26" s="1"/>
  <c r="L23" i="26"/>
  <c r="P23" i="26" s="1"/>
  <c r="L18" i="26"/>
  <c r="L19" i="26"/>
  <c r="P19" i="26" s="1"/>
  <c r="L15" i="26"/>
  <c r="L14" i="26"/>
  <c r="P14" i="26" s="1"/>
  <c r="K24" i="26"/>
  <c r="K20" i="26"/>
  <c r="K16" i="26"/>
  <c r="J21" i="23"/>
  <c r="N21" i="23" s="1"/>
  <c r="O21" i="23" s="1"/>
  <c r="I15" i="23"/>
  <c r="I23" i="23"/>
  <c r="J20" i="23"/>
  <c r="N20" i="23" s="1"/>
  <c r="O20" i="23" s="1"/>
  <c r="J14" i="23"/>
  <c r="N14" i="23" s="1"/>
  <c r="O14" i="23" s="1"/>
  <c r="J22" i="23"/>
  <c r="N22" i="23" s="1"/>
  <c r="O22" i="23" s="1"/>
  <c r="J18" i="23"/>
  <c r="N18" i="23" s="1"/>
  <c r="O18" i="23" s="1"/>
  <c r="J13" i="23"/>
  <c r="N13" i="23" s="1"/>
  <c r="O13" i="23" s="1"/>
  <c r="J17" i="23"/>
  <c r="N17" i="23" s="1"/>
  <c r="O17" i="23" s="1"/>
  <c r="I19" i="23"/>
  <c r="J16" i="23"/>
  <c r="M24" i="22"/>
  <c r="I41" i="21"/>
  <c r="D54" i="21"/>
  <c r="H54" i="21"/>
  <c r="I4" i="21"/>
  <c r="I54" i="21" s="1"/>
  <c r="J54" i="21"/>
  <c r="J24" i="20"/>
  <c r="D24" i="20" s="1"/>
  <c r="I28" i="20"/>
  <c r="I29" i="20"/>
  <c r="Q23" i="26" l="1"/>
  <c r="P22" i="26"/>
  <c r="Q22" i="26" s="1"/>
  <c r="Q19" i="26"/>
  <c r="P18" i="26"/>
  <c r="Q18" i="26" s="1"/>
  <c r="Q14" i="26"/>
  <c r="P15" i="26"/>
  <c r="Q15" i="26" s="1"/>
  <c r="K25" i="26"/>
  <c r="L16" i="26"/>
  <c r="P16" i="26" s="1"/>
  <c r="Q21" i="26"/>
  <c r="L24" i="26"/>
  <c r="P24" i="26" s="1"/>
  <c r="Q17" i="26"/>
  <c r="L20" i="26"/>
  <c r="P20" i="26" s="1"/>
  <c r="J19" i="23"/>
  <c r="N19" i="23" s="1"/>
  <c r="O19" i="23" s="1"/>
  <c r="J15" i="23"/>
  <c r="N15" i="23" s="1"/>
  <c r="O15" i="23" s="1"/>
  <c r="I24" i="23"/>
  <c r="I8" i="23" s="1"/>
  <c r="N16" i="23"/>
  <c r="O16" i="23" s="1"/>
  <c r="J23" i="23"/>
  <c r="N12" i="23"/>
  <c r="O12" i="23" s="1"/>
  <c r="I22" i="22"/>
  <c r="I17" i="22"/>
  <c r="I12" i="22"/>
  <c r="I21" i="22"/>
  <c r="I16" i="22"/>
  <c r="I18" i="22"/>
  <c r="I13" i="22"/>
  <c r="I20" i="22"/>
  <c r="I14" i="22"/>
  <c r="I51" i="20"/>
  <c r="I50" i="20"/>
  <c r="I49" i="20"/>
  <c r="I48" i="20"/>
  <c r="J47" i="20"/>
  <c r="D47" i="20" s="1"/>
  <c r="H47" i="20"/>
  <c r="G47" i="20"/>
  <c r="F47" i="20"/>
  <c r="I46" i="20"/>
  <c r="I45" i="20"/>
  <c r="J44" i="20"/>
  <c r="D44" i="20" s="1"/>
  <c r="H44" i="20"/>
  <c r="G44" i="20"/>
  <c r="F44" i="20"/>
  <c r="I43" i="20"/>
  <c r="I42" i="20"/>
  <c r="I41" i="20"/>
  <c r="J40" i="20"/>
  <c r="H40" i="20"/>
  <c r="G40" i="20"/>
  <c r="G39" i="20" s="1"/>
  <c r="F40" i="20"/>
  <c r="I38" i="20"/>
  <c r="I37" i="20"/>
  <c r="J36" i="20"/>
  <c r="D36" i="20" s="1"/>
  <c r="H36" i="20"/>
  <c r="G36" i="20"/>
  <c r="F36" i="20"/>
  <c r="I35" i="20"/>
  <c r="I34" i="20" s="1"/>
  <c r="J34" i="20"/>
  <c r="D34" i="20" s="1"/>
  <c r="H34" i="20"/>
  <c r="G34" i="20"/>
  <c r="F34" i="20"/>
  <c r="I33" i="20"/>
  <c r="I32" i="20" s="1"/>
  <c r="J32" i="20"/>
  <c r="H32" i="20"/>
  <c r="G32" i="20"/>
  <c r="F32" i="20"/>
  <c r="D32" i="20"/>
  <c r="H31" i="20"/>
  <c r="G31" i="20"/>
  <c r="I30" i="20"/>
  <c r="I27" i="20"/>
  <c r="I26" i="20"/>
  <c r="I25" i="20"/>
  <c r="H24" i="20"/>
  <c r="G24" i="20"/>
  <c r="F24" i="20"/>
  <c r="I23" i="20"/>
  <c r="I22" i="20"/>
  <c r="I21" i="20"/>
  <c r="I20" i="20"/>
  <c r="I19" i="20"/>
  <c r="I18" i="20"/>
  <c r="I17" i="20"/>
  <c r="I16" i="20"/>
  <c r="I15" i="20"/>
  <c r="I14" i="20"/>
  <c r="I13" i="20"/>
  <c r="I12" i="20"/>
  <c r="J11" i="20"/>
  <c r="D11" i="20" s="1"/>
  <c r="H11" i="20"/>
  <c r="G11" i="20"/>
  <c r="F11" i="20"/>
  <c r="I10" i="20"/>
  <c r="I9" i="20"/>
  <c r="I8" i="20"/>
  <c r="I7" i="20"/>
  <c r="I6" i="20"/>
  <c r="J5" i="20"/>
  <c r="D5" i="20" s="1"/>
  <c r="H5" i="20"/>
  <c r="G5" i="20"/>
  <c r="F5" i="20"/>
  <c r="I24" i="19"/>
  <c r="H23" i="19"/>
  <c r="H24" i="19" s="1"/>
  <c r="G23" i="19"/>
  <c r="G24" i="19" s="1"/>
  <c r="F23" i="19"/>
  <c r="E23" i="19"/>
  <c r="M22" i="19"/>
  <c r="M21" i="19"/>
  <c r="M20" i="19"/>
  <c r="H19" i="19"/>
  <c r="G19" i="19"/>
  <c r="F19" i="19"/>
  <c r="E19" i="19"/>
  <c r="M18" i="19"/>
  <c r="M17" i="19"/>
  <c r="M16" i="19"/>
  <c r="H15" i="19"/>
  <c r="G15" i="19"/>
  <c r="F15" i="19"/>
  <c r="E15" i="19"/>
  <c r="M15" i="19" s="1"/>
  <c r="M14" i="19"/>
  <c r="M13" i="19"/>
  <c r="M12" i="19"/>
  <c r="R13" i="26" l="1"/>
  <c r="R23" i="26"/>
  <c r="Q24" i="26"/>
  <c r="Q20" i="26"/>
  <c r="Q16" i="26"/>
  <c r="R19" i="26"/>
  <c r="R21" i="26"/>
  <c r="R15" i="26"/>
  <c r="K9" i="26"/>
  <c r="R16" i="26"/>
  <c r="R14" i="26"/>
  <c r="R22" i="26"/>
  <c r="R24" i="26"/>
  <c r="R17" i="26"/>
  <c r="R25" i="26"/>
  <c r="R20" i="26"/>
  <c r="R18" i="26"/>
  <c r="L25" i="26"/>
  <c r="J24" i="23"/>
  <c r="N24" i="23" s="1"/>
  <c r="O24" i="23" s="1"/>
  <c r="N23" i="23"/>
  <c r="O23" i="23" s="1"/>
  <c r="P15" i="23"/>
  <c r="P19" i="23"/>
  <c r="P18" i="23"/>
  <c r="P12" i="23"/>
  <c r="P23" i="23"/>
  <c r="P16" i="23"/>
  <c r="P17" i="23"/>
  <c r="P22" i="23"/>
  <c r="P20" i="23"/>
  <c r="P14" i="23"/>
  <c r="P21" i="23"/>
  <c r="P13" i="23"/>
  <c r="P24" i="23"/>
  <c r="I23" i="22"/>
  <c r="I19" i="22"/>
  <c r="I15" i="22"/>
  <c r="M19" i="19"/>
  <c r="F24" i="19"/>
  <c r="E24" i="19"/>
  <c r="I24" i="20"/>
  <c r="H4" i="20"/>
  <c r="F31" i="20"/>
  <c r="J39" i="20"/>
  <c r="I44" i="20"/>
  <c r="D40" i="20"/>
  <c r="D39" i="20" s="1"/>
  <c r="J31" i="20"/>
  <c r="I11" i="20"/>
  <c r="D4" i="20"/>
  <c r="F39" i="20"/>
  <c r="I47" i="20"/>
  <c r="H39" i="20"/>
  <c r="H52" i="20" s="1"/>
  <c r="I40" i="20"/>
  <c r="I36" i="20"/>
  <c r="I31" i="20" s="1"/>
  <c r="F4" i="20"/>
  <c r="G4" i="20"/>
  <c r="G52" i="20" s="1"/>
  <c r="I5" i="20"/>
  <c r="D31" i="20"/>
  <c r="J4" i="20"/>
  <c r="M23" i="19"/>
  <c r="I26" i="15"/>
  <c r="P25" i="26" l="1"/>
  <c r="Q25" i="26" s="1"/>
  <c r="I24" i="22"/>
  <c r="I8" i="22" s="1"/>
  <c r="M24" i="19"/>
  <c r="I17" i="19" s="1"/>
  <c r="P24" i="19"/>
  <c r="I12" i="19"/>
  <c r="J12" i="19" s="1"/>
  <c r="P18" i="19"/>
  <c r="P22" i="19"/>
  <c r="P21" i="19"/>
  <c r="P16" i="19"/>
  <c r="P15" i="19"/>
  <c r="P17" i="19"/>
  <c r="P19" i="19"/>
  <c r="P14" i="19"/>
  <c r="P13" i="19"/>
  <c r="I21" i="19"/>
  <c r="J21" i="19" s="1"/>
  <c r="N21" i="19" s="1"/>
  <c r="O21" i="19" s="1"/>
  <c r="I18" i="19"/>
  <c r="J18" i="19" s="1"/>
  <c r="N18" i="19" s="1"/>
  <c r="O18" i="19" s="1"/>
  <c r="I20" i="19"/>
  <c r="J20" i="19" s="1"/>
  <c r="N20" i="19" s="1"/>
  <c r="O20" i="19" s="1"/>
  <c r="I22" i="19"/>
  <c r="J22" i="19" s="1"/>
  <c r="N22" i="19" s="1"/>
  <c r="O22" i="19" s="1"/>
  <c r="I16" i="19"/>
  <c r="I4" i="20"/>
  <c r="F52" i="20"/>
  <c r="I39" i="20"/>
  <c r="D52" i="20"/>
  <c r="J52" i="20"/>
  <c r="J17" i="19"/>
  <c r="N17" i="19" s="1"/>
  <c r="O17" i="19" s="1"/>
  <c r="P23" i="19"/>
  <c r="I48" i="18"/>
  <c r="I47" i="18"/>
  <c r="I46" i="18"/>
  <c r="I45" i="18"/>
  <c r="J44" i="18"/>
  <c r="H44" i="18"/>
  <c r="G44" i="18"/>
  <c r="F44" i="18"/>
  <c r="D44" i="18"/>
  <c r="I43" i="18"/>
  <c r="I41" i="18" s="1"/>
  <c r="I42" i="18"/>
  <c r="J41" i="18"/>
  <c r="D41" i="18" s="1"/>
  <c r="H41" i="18"/>
  <c r="G41" i="18"/>
  <c r="F41" i="18"/>
  <c r="I40" i="18"/>
  <c r="I39" i="18"/>
  <c r="I38" i="18"/>
  <c r="I37" i="18" s="1"/>
  <c r="J37" i="18"/>
  <c r="D37" i="18" s="1"/>
  <c r="H37" i="18"/>
  <c r="G37" i="18"/>
  <c r="F37" i="18"/>
  <c r="F36" i="18" s="1"/>
  <c r="H36" i="18"/>
  <c r="G36" i="18"/>
  <c r="I35" i="18"/>
  <c r="I34" i="18"/>
  <c r="I33" i="18" s="1"/>
  <c r="J33" i="18"/>
  <c r="H33" i="18"/>
  <c r="G33" i="18"/>
  <c r="F33" i="18"/>
  <c r="D33" i="18"/>
  <c r="I32" i="18"/>
  <c r="I31" i="18" s="1"/>
  <c r="J31" i="18"/>
  <c r="H31" i="18"/>
  <c r="H28" i="18" s="1"/>
  <c r="G31" i="18"/>
  <c r="G28" i="18" s="1"/>
  <c r="F31" i="18"/>
  <c r="D31" i="18"/>
  <c r="I30" i="18"/>
  <c r="I29" i="18" s="1"/>
  <c r="I28" i="18" s="1"/>
  <c r="J29" i="18"/>
  <c r="D29" i="18" s="1"/>
  <c r="D28" i="18" s="1"/>
  <c r="H29" i="18"/>
  <c r="G29" i="18"/>
  <c r="F29" i="18"/>
  <c r="F28" i="18" s="1"/>
  <c r="I27" i="18"/>
  <c r="I26" i="18"/>
  <c r="I25" i="18"/>
  <c r="J24" i="18"/>
  <c r="H24" i="18"/>
  <c r="G24" i="18"/>
  <c r="F24" i="18"/>
  <c r="D24" i="18"/>
  <c r="I23" i="18"/>
  <c r="I22" i="18"/>
  <c r="I21" i="18"/>
  <c r="I20" i="18"/>
  <c r="I19" i="18"/>
  <c r="I18" i="18"/>
  <c r="I17" i="18"/>
  <c r="I16" i="18"/>
  <c r="I15" i="18"/>
  <c r="I14" i="18"/>
  <c r="I13" i="18"/>
  <c r="I12" i="18"/>
  <c r="J11" i="18"/>
  <c r="H11" i="18"/>
  <c r="G11" i="18"/>
  <c r="G4" i="18" s="1"/>
  <c r="G49" i="18" s="1"/>
  <c r="F11" i="18"/>
  <c r="D11" i="18"/>
  <c r="I10" i="18"/>
  <c r="I9" i="18"/>
  <c r="I8" i="18"/>
  <c r="I7" i="18"/>
  <c r="I6" i="18"/>
  <c r="J5" i="18"/>
  <c r="D5" i="18" s="1"/>
  <c r="D4" i="18" s="1"/>
  <c r="H5" i="18"/>
  <c r="G5" i="18"/>
  <c r="F5" i="18"/>
  <c r="H4" i="18"/>
  <c r="I24" i="17"/>
  <c r="H23" i="17"/>
  <c r="G23" i="17"/>
  <c r="G24" i="17" s="1"/>
  <c r="F23" i="17"/>
  <c r="F24" i="17" s="1"/>
  <c r="E23" i="17"/>
  <c r="M22" i="17"/>
  <c r="M21" i="17"/>
  <c r="M20" i="17"/>
  <c r="H19" i="17"/>
  <c r="G19" i="17"/>
  <c r="F19" i="17"/>
  <c r="E19" i="17"/>
  <c r="M18" i="17"/>
  <c r="M17" i="17"/>
  <c r="M16" i="17"/>
  <c r="H15" i="17"/>
  <c r="G15" i="17"/>
  <c r="F15" i="17"/>
  <c r="E15" i="17"/>
  <c r="M15" i="17" s="1"/>
  <c r="M14" i="17"/>
  <c r="M13" i="17"/>
  <c r="M12" i="17"/>
  <c r="P12" i="19" l="1"/>
  <c r="P20" i="19"/>
  <c r="I14" i="19"/>
  <c r="J14" i="19" s="1"/>
  <c r="N14" i="19" s="1"/>
  <c r="O14" i="19" s="1"/>
  <c r="J13" i="19"/>
  <c r="N13" i="19" s="1"/>
  <c r="O13" i="19" s="1"/>
  <c r="I19" i="19"/>
  <c r="I23" i="19"/>
  <c r="J16" i="19"/>
  <c r="J19" i="19" s="1"/>
  <c r="I52" i="20"/>
  <c r="N12" i="19"/>
  <c r="O12" i="19" s="1"/>
  <c r="J23" i="19"/>
  <c r="H24" i="17"/>
  <c r="F4" i="18"/>
  <c r="I5" i="18"/>
  <c r="H49" i="18"/>
  <c r="E24" i="17"/>
  <c r="I24" i="18"/>
  <c r="I44" i="18"/>
  <c r="I36" i="18" s="1"/>
  <c r="M19" i="17"/>
  <c r="I11" i="18"/>
  <c r="I4" i="18" s="1"/>
  <c r="D36" i="18"/>
  <c r="D49" i="18" s="1"/>
  <c r="F49" i="18"/>
  <c r="M24" i="17"/>
  <c r="P21" i="17" s="1"/>
  <c r="J4" i="18"/>
  <c r="J28" i="18"/>
  <c r="J36" i="18"/>
  <c r="M23" i="17"/>
  <c r="M20" i="16"/>
  <c r="I15" i="19" l="1"/>
  <c r="J15" i="19"/>
  <c r="N19" i="19"/>
  <c r="O19" i="19" s="1"/>
  <c r="N16" i="19"/>
  <c r="O16" i="19" s="1"/>
  <c r="J24" i="19"/>
  <c r="N24" i="19" s="1"/>
  <c r="O24" i="19" s="1"/>
  <c r="N23" i="19"/>
  <c r="O23" i="19" s="1"/>
  <c r="I49" i="18"/>
  <c r="P23" i="17"/>
  <c r="I22" i="17"/>
  <c r="I20" i="17"/>
  <c r="I18" i="17"/>
  <c r="I16" i="17"/>
  <c r="I14" i="17"/>
  <c r="I12" i="17"/>
  <c r="P14" i="17"/>
  <c r="P12" i="17"/>
  <c r="P22" i="17"/>
  <c r="P20" i="17"/>
  <c r="I21" i="17"/>
  <c r="I17" i="17"/>
  <c r="I13" i="17"/>
  <c r="P24" i="17"/>
  <c r="P18" i="17"/>
  <c r="P16" i="17"/>
  <c r="P19" i="17"/>
  <c r="P17" i="17"/>
  <c r="J49" i="18"/>
  <c r="P13" i="17"/>
  <c r="P15" i="17"/>
  <c r="I24" i="16"/>
  <c r="H23" i="16"/>
  <c r="G23" i="16"/>
  <c r="G24" i="16" s="1"/>
  <c r="F23" i="16"/>
  <c r="E23" i="16"/>
  <c r="M22" i="16"/>
  <c r="M21" i="16"/>
  <c r="H19" i="16"/>
  <c r="G19" i="16"/>
  <c r="F19" i="16"/>
  <c r="E19" i="16"/>
  <c r="M18" i="16"/>
  <c r="M17" i="16"/>
  <c r="M16" i="16"/>
  <c r="H15" i="16"/>
  <c r="G15" i="16"/>
  <c r="F15" i="16"/>
  <c r="E15" i="16"/>
  <c r="M14" i="16"/>
  <c r="M13" i="16"/>
  <c r="M12" i="16"/>
  <c r="I49" i="15"/>
  <c r="I48" i="15"/>
  <c r="I47" i="15"/>
  <c r="I46" i="15"/>
  <c r="J45" i="15"/>
  <c r="D45" i="15" s="1"/>
  <c r="H45" i="15"/>
  <c r="G45" i="15"/>
  <c r="F45" i="15"/>
  <c r="I44" i="15"/>
  <c r="I43" i="15"/>
  <c r="J42" i="15"/>
  <c r="H42" i="15"/>
  <c r="G42" i="15"/>
  <c r="F42" i="15"/>
  <c r="D42" i="15"/>
  <c r="I41" i="15"/>
  <c r="I40" i="15"/>
  <c r="I39" i="15"/>
  <c r="J38" i="15"/>
  <c r="H38" i="15"/>
  <c r="G38" i="15"/>
  <c r="F38" i="15"/>
  <c r="I36" i="15"/>
  <c r="I35" i="15"/>
  <c r="J34" i="15"/>
  <c r="H34" i="15"/>
  <c r="G34" i="15"/>
  <c r="F34" i="15"/>
  <c r="D34" i="15"/>
  <c r="I33" i="15"/>
  <c r="I32" i="15" s="1"/>
  <c r="J32" i="15"/>
  <c r="D32" i="15" s="1"/>
  <c r="H32" i="15"/>
  <c r="G32" i="15"/>
  <c r="G29" i="15" s="1"/>
  <c r="F32" i="15"/>
  <c r="I31" i="15"/>
  <c r="I30" i="15" s="1"/>
  <c r="J30" i="15"/>
  <c r="H30" i="15"/>
  <c r="G30" i="15"/>
  <c r="F30" i="15"/>
  <c r="D30" i="15"/>
  <c r="H29" i="15"/>
  <c r="I28" i="15"/>
  <c r="I27" i="15"/>
  <c r="I25" i="15"/>
  <c r="J24" i="15"/>
  <c r="D24" i="15" s="1"/>
  <c r="H24" i="15"/>
  <c r="G24" i="15"/>
  <c r="F24" i="15"/>
  <c r="I23" i="15"/>
  <c r="I22" i="15"/>
  <c r="I21" i="15"/>
  <c r="I20" i="15"/>
  <c r="I19" i="15"/>
  <c r="I18" i="15"/>
  <c r="I17" i="15"/>
  <c r="I16" i="15"/>
  <c r="I15" i="15"/>
  <c r="I14" i="15"/>
  <c r="I13" i="15"/>
  <c r="I12" i="15"/>
  <c r="J11" i="15"/>
  <c r="D11" i="15" s="1"/>
  <c r="H11" i="15"/>
  <c r="G11" i="15"/>
  <c r="F11" i="15"/>
  <c r="I10" i="15"/>
  <c r="I9" i="15"/>
  <c r="I8" i="15"/>
  <c r="I7" i="15"/>
  <c r="I6" i="15"/>
  <c r="J5" i="15"/>
  <c r="H5" i="15"/>
  <c r="G5" i="15"/>
  <c r="F5" i="15"/>
  <c r="N15" i="19" l="1"/>
  <c r="O15" i="19" s="1"/>
  <c r="G37" i="15"/>
  <c r="J29" i="15"/>
  <c r="F29" i="15"/>
  <c r="F4" i="15"/>
  <c r="G4" i="15"/>
  <c r="J22" i="17"/>
  <c r="N22" i="17" s="1"/>
  <c r="O22" i="17" s="1"/>
  <c r="J17" i="17"/>
  <c r="N17" i="17"/>
  <c r="O17" i="17" s="1"/>
  <c r="J16" i="17"/>
  <c r="I19" i="17"/>
  <c r="J14" i="17"/>
  <c r="N14" i="17" s="1"/>
  <c r="O14" i="17" s="1"/>
  <c r="J21" i="17"/>
  <c r="N21" i="17" s="1"/>
  <c r="O21" i="17" s="1"/>
  <c r="J18" i="17"/>
  <c r="N18" i="17" s="1"/>
  <c r="O18" i="17" s="1"/>
  <c r="J13" i="17"/>
  <c r="N13" i="17"/>
  <c r="O13" i="17" s="1"/>
  <c r="I15" i="17"/>
  <c r="J12" i="17"/>
  <c r="J20" i="17"/>
  <c r="J23" i="17" s="1"/>
  <c r="I23" i="17"/>
  <c r="F24" i="16"/>
  <c r="M19" i="16"/>
  <c r="M15" i="16"/>
  <c r="H24" i="16"/>
  <c r="E24" i="16"/>
  <c r="F37" i="15"/>
  <c r="G50" i="15"/>
  <c r="H37" i="15"/>
  <c r="H4" i="15"/>
  <c r="J37" i="15"/>
  <c r="I45" i="15"/>
  <c r="I42" i="15"/>
  <c r="I38" i="15"/>
  <c r="D38" i="15"/>
  <c r="D37" i="15" s="1"/>
  <c r="I34" i="15"/>
  <c r="I29" i="15" s="1"/>
  <c r="D29" i="15"/>
  <c r="I24" i="15"/>
  <c r="I11" i="15"/>
  <c r="J4" i="15"/>
  <c r="D5" i="15"/>
  <c r="D4" i="15" s="1"/>
  <c r="I5" i="15"/>
  <c r="M23" i="16"/>
  <c r="M12" i="13"/>
  <c r="J15" i="17" l="1"/>
  <c r="J50" i="15"/>
  <c r="N20" i="17"/>
  <c r="O20" i="17" s="1"/>
  <c r="N12" i="17"/>
  <c r="O12" i="17" s="1"/>
  <c r="F50" i="15"/>
  <c r="J19" i="17"/>
  <c r="J24" i="17" s="1"/>
  <c r="N24" i="17" s="1"/>
  <c r="O24" i="17" s="1"/>
  <c r="N23" i="17"/>
  <c r="O23" i="17" s="1"/>
  <c r="N15" i="17"/>
  <c r="O15" i="17" s="1"/>
  <c r="N16" i="17"/>
  <c r="O16" i="17" s="1"/>
  <c r="M24" i="16"/>
  <c r="P23" i="16" s="1"/>
  <c r="I37" i="15"/>
  <c r="H50" i="15"/>
  <c r="D50" i="15"/>
  <c r="I4" i="15"/>
  <c r="I48" i="14"/>
  <c r="I47" i="14"/>
  <c r="I46" i="14"/>
  <c r="I45" i="14"/>
  <c r="J44" i="14"/>
  <c r="D44" i="14" s="1"/>
  <c r="H44" i="14"/>
  <c r="G44" i="14"/>
  <c r="F44" i="14"/>
  <c r="I43" i="14"/>
  <c r="I42" i="14"/>
  <c r="I41" i="14" s="1"/>
  <c r="J41" i="14"/>
  <c r="H41" i="14"/>
  <c r="G41" i="14"/>
  <c r="F41" i="14"/>
  <c r="D41" i="14"/>
  <c r="I40" i="14"/>
  <c r="I39" i="14"/>
  <c r="I38" i="14"/>
  <c r="J37" i="14"/>
  <c r="D37" i="14" s="1"/>
  <c r="H37" i="14"/>
  <c r="G37" i="14"/>
  <c r="F37" i="14"/>
  <c r="I35" i="14"/>
  <c r="I34" i="14"/>
  <c r="J33" i="14"/>
  <c r="D33" i="14" s="1"/>
  <c r="H33" i="14"/>
  <c r="H28" i="14" s="1"/>
  <c r="G33" i="14"/>
  <c r="F33" i="14"/>
  <c r="I32" i="14"/>
  <c r="I31" i="14" s="1"/>
  <c r="J31" i="14"/>
  <c r="D31" i="14" s="1"/>
  <c r="H31" i="14"/>
  <c r="G31" i="14"/>
  <c r="F31" i="14"/>
  <c r="I30" i="14"/>
  <c r="I29" i="14" s="1"/>
  <c r="J29" i="14"/>
  <c r="D29" i="14" s="1"/>
  <c r="H29" i="14"/>
  <c r="G29" i="14"/>
  <c r="F29" i="14"/>
  <c r="I27" i="14"/>
  <c r="I26" i="14"/>
  <c r="I25" i="14"/>
  <c r="J24" i="14"/>
  <c r="H24" i="14"/>
  <c r="G24" i="14"/>
  <c r="F24" i="14"/>
  <c r="D24" i="14"/>
  <c r="I23" i="14"/>
  <c r="I22" i="14"/>
  <c r="I21" i="14"/>
  <c r="I20" i="14"/>
  <c r="I19" i="14"/>
  <c r="I18" i="14"/>
  <c r="I17" i="14"/>
  <c r="I16" i="14"/>
  <c r="I15" i="14"/>
  <c r="I14" i="14"/>
  <c r="I13" i="14"/>
  <c r="I12" i="14"/>
  <c r="J11" i="14"/>
  <c r="D11" i="14" s="1"/>
  <c r="H11" i="14"/>
  <c r="G11" i="14"/>
  <c r="G4" i="14" s="1"/>
  <c r="F11" i="14"/>
  <c r="I10" i="14"/>
  <c r="I9" i="14"/>
  <c r="I8" i="14"/>
  <c r="I7" i="14"/>
  <c r="I6" i="14"/>
  <c r="J5" i="14"/>
  <c r="D5" i="14" s="1"/>
  <c r="H5" i="14"/>
  <c r="G5" i="14"/>
  <c r="F5" i="14"/>
  <c r="I24" i="13"/>
  <c r="H23" i="13"/>
  <c r="G23" i="13"/>
  <c r="F23" i="13"/>
  <c r="E23" i="13"/>
  <c r="M22" i="13"/>
  <c r="M21" i="13"/>
  <c r="M20" i="13"/>
  <c r="H19" i="13"/>
  <c r="G19" i="13"/>
  <c r="F19" i="13"/>
  <c r="E19" i="13"/>
  <c r="M18" i="13"/>
  <c r="M17" i="13"/>
  <c r="M16" i="13"/>
  <c r="H15" i="13"/>
  <c r="G15" i="13"/>
  <c r="F15" i="13"/>
  <c r="E15" i="13"/>
  <c r="M14" i="13"/>
  <c r="M13" i="13"/>
  <c r="G36" i="14" l="1"/>
  <c r="G28" i="14"/>
  <c r="I33" i="14"/>
  <c r="P20" i="16"/>
  <c r="I50" i="15"/>
  <c r="N19" i="17"/>
  <c r="O19" i="17" s="1"/>
  <c r="P16" i="16"/>
  <c r="P22" i="16"/>
  <c r="P19" i="16"/>
  <c r="I17" i="16"/>
  <c r="J17" i="16" s="1"/>
  <c r="N17" i="16" s="1"/>
  <c r="O17" i="16" s="1"/>
  <c r="I13" i="16"/>
  <c r="J13" i="16" s="1"/>
  <c r="N13" i="16" s="1"/>
  <c r="O13" i="16" s="1"/>
  <c r="P17" i="16"/>
  <c r="I21" i="16"/>
  <c r="I14" i="16"/>
  <c r="J14" i="16" s="1"/>
  <c r="N14" i="16" s="1"/>
  <c r="O14" i="16" s="1"/>
  <c r="P14" i="16"/>
  <c r="I16" i="16"/>
  <c r="J16" i="16" s="1"/>
  <c r="I18" i="16"/>
  <c r="J18" i="16" s="1"/>
  <c r="P18" i="16"/>
  <c r="P12" i="16"/>
  <c r="I12" i="16"/>
  <c r="J12" i="16" s="1"/>
  <c r="I22" i="16"/>
  <c r="J22" i="16" s="1"/>
  <c r="N22" i="16" s="1"/>
  <c r="O22" i="16" s="1"/>
  <c r="P15" i="16"/>
  <c r="P24" i="16"/>
  <c r="P13" i="16"/>
  <c r="I20" i="16"/>
  <c r="J20" i="16" s="1"/>
  <c r="N20" i="16" s="1"/>
  <c r="O20" i="16" s="1"/>
  <c r="P21" i="16"/>
  <c r="J21" i="16"/>
  <c r="N21" i="16" s="1"/>
  <c r="O21" i="16" s="1"/>
  <c r="H24" i="13"/>
  <c r="M19" i="13"/>
  <c r="F24" i="13"/>
  <c r="G24" i="13"/>
  <c r="M15" i="13"/>
  <c r="E24" i="13"/>
  <c r="H36" i="14"/>
  <c r="I44" i="14"/>
  <c r="I36" i="14" s="1"/>
  <c r="F36" i="14"/>
  <c r="I37" i="14"/>
  <c r="F28" i="14"/>
  <c r="F4" i="14"/>
  <c r="H4" i="14"/>
  <c r="H49" i="14" s="1"/>
  <c r="D36" i="14"/>
  <c r="J36" i="14"/>
  <c r="D28" i="14"/>
  <c r="I24" i="14"/>
  <c r="I5" i="14"/>
  <c r="I11" i="14"/>
  <c r="D4" i="14"/>
  <c r="D49" i="14" s="1"/>
  <c r="G49" i="14"/>
  <c r="I28" i="14"/>
  <c r="J4" i="14"/>
  <c r="J28" i="14"/>
  <c r="M23" i="13"/>
  <c r="J24" i="11"/>
  <c r="D24" i="11" s="1"/>
  <c r="I24" i="12"/>
  <c r="H23" i="12"/>
  <c r="G23" i="12"/>
  <c r="F23" i="12"/>
  <c r="E23" i="12"/>
  <c r="M22" i="12"/>
  <c r="M21" i="12"/>
  <c r="M20" i="12"/>
  <c r="H19" i="12"/>
  <c r="G19" i="12"/>
  <c r="F19" i="12"/>
  <c r="E19" i="12"/>
  <c r="M18" i="12"/>
  <c r="M17" i="12"/>
  <c r="M16" i="12"/>
  <c r="H15" i="12"/>
  <c r="G15" i="12"/>
  <c r="F15" i="12"/>
  <c r="E15" i="12"/>
  <c r="M14" i="12"/>
  <c r="M13" i="12"/>
  <c r="M12" i="12"/>
  <c r="I48" i="11"/>
  <c r="I47" i="11"/>
  <c r="I46" i="11"/>
  <c r="I45" i="11"/>
  <c r="J44" i="11"/>
  <c r="D44" i="11" s="1"/>
  <c r="H44" i="11"/>
  <c r="G44" i="11"/>
  <c r="F44" i="11"/>
  <c r="I43" i="11"/>
  <c r="I42" i="11"/>
  <c r="J41" i="11"/>
  <c r="D41" i="11" s="1"/>
  <c r="H41" i="11"/>
  <c r="G41" i="11"/>
  <c r="F41" i="11"/>
  <c r="I40" i="11"/>
  <c r="I39" i="11"/>
  <c r="I38" i="11"/>
  <c r="J37" i="11"/>
  <c r="D37" i="11" s="1"/>
  <c r="H37" i="11"/>
  <c r="G37" i="11"/>
  <c r="F37" i="11"/>
  <c r="I35" i="11"/>
  <c r="I34" i="11"/>
  <c r="J33" i="11"/>
  <c r="D33" i="11" s="1"/>
  <c r="H33" i="11"/>
  <c r="G33" i="11"/>
  <c r="F33" i="11"/>
  <c r="I32" i="11"/>
  <c r="I31" i="11" s="1"/>
  <c r="J31" i="11"/>
  <c r="H31" i="11"/>
  <c r="G31" i="11"/>
  <c r="F31" i="11"/>
  <c r="D31" i="11"/>
  <c r="I30" i="11"/>
  <c r="I29" i="11" s="1"/>
  <c r="J29" i="11"/>
  <c r="D29" i="11" s="1"/>
  <c r="H29" i="11"/>
  <c r="G29" i="11"/>
  <c r="G28" i="11" s="1"/>
  <c r="F29" i="11"/>
  <c r="I27" i="11"/>
  <c r="I26" i="11"/>
  <c r="I25" i="11"/>
  <c r="H24" i="11"/>
  <c r="G24" i="11"/>
  <c r="F24" i="11"/>
  <c r="I23" i="11"/>
  <c r="I22" i="11"/>
  <c r="I21" i="11"/>
  <c r="I20" i="11"/>
  <c r="I19" i="11"/>
  <c r="I18" i="11"/>
  <c r="I17" i="11"/>
  <c r="I16" i="11"/>
  <c r="I15" i="11"/>
  <c r="I14" i="11"/>
  <c r="I13" i="11"/>
  <c r="I12" i="11"/>
  <c r="J11" i="11"/>
  <c r="D11" i="11" s="1"/>
  <c r="H11" i="11"/>
  <c r="G11" i="11"/>
  <c r="F11" i="11"/>
  <c r="I10" i="11"/>
  <c r="I9" i="11"/>
  <c r="I8" i="11"/>
  <c r="I7" i="11"/>
  <c r="I6" i="11"/>
  <c r="J5" i="11"/>
  <c r="D5" i="11" s="1"/>
  <c r="H5" i="11"/>
  <c r="G5" i="11"/>
  <c r="F5" i="11"/>
  <c r="H28" i="11" l="1"/>
  <c r="I19" i="16"/>
  <c r="N12" i="16"/>
  <c r="O12" i="16" s="1"/>
  <c r="I23" i="16"/>
  <c r="I15" i="16"/>
  <c r="N18" i="16"/>
  <c r="O18" i="16" s="1"/>
  <c r="J19" i="16"/>
  <c r="J15" i="16"/>
  <c r="J23" i="16"/>
  <c r="N16" i="16"/>
  <c r="O16" i="16" s="1"/>
  <c r="M24" i="13"/>
  <c r="F49" i="14"/>
  <c r="I4" i="14"/>
  <c r="I49" i="14" s="1"/>
  <c r="J49" i="14"/>
  <c r="G24" i="12"/>
  <c r="G4" i="11"/>
  <c r="F36" i="11"/>
  <c r="I37" i="11"/>
  <c r="F24" i="12"/>
  <c r="H24" i="12"/>
  <c r="M15" i="12"/>
  <c r="M19" i="12"/>
  <c r="E24" i="12"/>
  <c r="H36" i="11"/>
  <c r="I41" i="11"/>
  <c r="F28" i="11"/>
  <c r="I44" i="11"/>
  <c r="I33" i="11"/>
  <c r="I28" i="11" s="1"/>
  <c r="J28" i="11"/>
  <c r="I5" i="11"/>
  <c r="D4" i="11"/>
  <c r="D28" i="11"/>
  <c r="H4" i="11"/>
  <c r="J36" i="11"/>
  <c r="D36" i="11"/>
  <c r="F4" i="11"/>
  <c r="I24" i="11"/>
  <c r="G36" i="11"/>
  <c r="I11" i="11"/>
  <c r="M23" i="12"/>
  <c r="J4" i="11"/>
  <c r="H22" i="10"/>
  <c r="G49" i="11" l="1"/>
  <c r="N19" i="16"/>
  <c r="O19" i="16" s="1"/>
  <c r="N15" i="16"/>
  <c r="O15" i="16" s="1"/>
  <c r="J24" i="16"/>
  <c r="N23" i="16"/>
  <c r="O23" i="16" s="1"/>
  <c r="P15" i="13"/>
  <c r="I16" i="13"/>
  <c r="P23" i="13"/>
  <c r="I21" i="13"/>
  <c r="J21" i="13" s="1"/>
  <c r="N21" i="13" s="1"/>
  <c r="O21" i="13" s="1"/>
  <c r="I22" i="13"/>
  <c r="J22" i="13" s="1"/>
  <c r="N22" i="13" s="1"/>
  <c r="O22" i="13" s="1"/>
  <c r="P24" i="13"/>
  <c r="I20" i="13"/>
  <c r="J20" i="13" s="1"/>
  <c r="P16" i="13"/>
  <c r="P12" i="13"/>
  <c r="P19" i="13"/>
  <c r="P22" i="13"/>
  <c r="P21" i="13"/>
  <c r="I13" i="13"/>
  <c r="P13" i="13"/>
  <c r="I12" i="13"/>
  <c r="J12" i="13" s="1"/>
  <c r="I14" i="13"/>
  <c r="J14" i="13" s="1"/>
  <c r="N14" i="13" s="1"/>
  <c r="O14" i="13" s="1"/>
  <c r="P20" i="13"/>
  <c r="I17" i="13"/>
  <c r="J17" i="13" s="1"/>
  <c r="N17" i="13" s="1"/>
  <c r="O17" i="13" s="1"/>
  <c r="P18" i="13"/>
  <c r="J16" i="13"/>
  <c r="P14" i="13"/>
  <c r="P17" i="13"/>
  <c r="I18" i="13"/>
  <c r="J18" i="13" s="1"/>
  <c r="N18" i="13" s="1"/>
  <c r="O18" i="13" s="1"/>
  <c r="J13" i="13"/>
  <c r="N13" i="13" s="1"/>
  <c r="O13" i="13" s="1"/>
  <c r="F49" i="11"/>
  <c r="M24" i="12"/>
  <c r="I36" i="11"/>
  <c r="H49" i="11"/>
  <c r="J49" i="11"/>
  <c r="D49" i="11"/>
  <c r="I4" i="11"/>
  <c r="I24" i="10"/>
  <c r="H23" i="10"/>
  <c r="G23" i="10"/>
  <c r="F23" i="10"/>
  <c r="E23" i="10"/>
  <c r="M22" i="10"/>
  <c r="M21" i="10"/>
  <c r="M20" i="10"/>
  <c r="H19" i="10"/>
  <c r="G19" i="10"/>
  <c r="F19" i="10"/>
  <c r="E19" i="10"/>
  <c r="M18" i="10"/>
  <c r="M17" i="10"/>
  <c r="M16" i="10"/>
  <c r="H15" i="10"/>
  <c r="G15" i="10"/>
  <c r="F15" i="10"/>
  <c r="E15" i="10"/>
  <c r="M14" i="10"/>
  <c r="M13" i="10"/>
  <c r="M12" i="10"/>
  <c r="I23" i="13" l="1"/>
  <c r="N24" i="16"/>
  <c r="O24" i="16" s="1"/>
  <c r="N12" i="13"/>
  <c r="O12" i="13" s="1"/>
  <c r="I15" i="13"/>
  <c r="I19" i="13"/>
  <c r="J19" i="13"/>
  <c r="J23" i="13"/>
  <c r="N23" i="13" s="1"/>
  <c r="O23" i="13" s="1"/>
  <c r="J15" i="13"/>
  <c r="N20" i="13"/>
  <c r="O20" i="13" s="1"/>
  <c r="N16" i="13"/>
  <c r="O16" i="13" s="1"/>
  <c r="P12" i="12"/>
  <c r="I16" i="12"/>
  <c r="P23" i="12"/>
  <c r="P17" i="12"/>
  <c r="I13" i="12"/>
  <c r="J13" i="12" s="1"/>
  <c r="N13" i="12" s="1"/>
  <c r="O13" i="12" s="1"/>
  <c r="P15" i="12"/>
  <c r="P16" i="12"/>
  <c r="P21" i="12"/>
  <c r="I18" i="12"/>
  <c r="J18" i="12" s="1"/>
  <c r="N18" i="12" s="1"/>
  <c r="O18" i="12" s="1"/>
  <c r="I17" i="12"/>
  <c r="J17" i="12" s="1"/>
  <c r="N17" i="12" s="1"/>
  <c r="O17" i="12" s="1"/>
  <c r="P18" i="12"/>
  <c r="P22" i="12"/>
  <c r="P14" i="12"/>
  <c r="I12" i="12"/>
  <c r="J12" i="12" s="1"/>
  <c r="I20" i="12"/>
  <c r="J20" i="12" s="1"/>
  <c r="I21" i="12"/>
  <c r="P19" i="12"/>
  <c r="P20" i="12"/>
  <c r="P13" i="12"/>
  <c r="I14" i="12"/>
  <c r="J14" i="12" s="1"/>
  <c r="N14" i="12" s="1"/>
  <c r="O14" i="12" s="1"/>
  <c r="I22" i="12"/>
  <c r="J22" i="12" s="1"/>
  <c r="N22" i="12" s="1"/>
  <c r="O22" i="12" s="1"/>
  <c r="P24" i="12"/>
  <c r="I49" i="11"/>
  <c r="J21" i="12"/>
  <c r="N21" i="12" s="1"/>
  <c r="O21" i="12" s="1"/>
  <c r="H24" i="10"/>
  <c r="M15" i="10"/>
  <c r="M19" i="10"/>
  <c r="G24" i="10"/>
  <c r="F24" i="10"/>
  <c r="E24" i="10"/>
  <c r="M23" i="10"/>
  <c r="I49" i="9"/>
  <c r="I48" i="9"/>
  <c r="I47" i="9"/>
  <c r="I46" i="9"/>
  <c r="J45" i="9"/>
  <c r="D45" i="9" s="1"/>
  <c r="H45" i="9"/>
  <c r="G45" i="9"/>
  <c r="F45" i="9"/>
  <c r="I44" i="9"/>
  <c r="I43" i="9"/>
  <c r="J42" i="9"/>
  <c r="D42" i="9" s="1"/>
  <c r="H42" i="9"/>
  <c r="G42" i="9"/>
  <c r="F42" i="9"/>
  <c r="I41" i="9"/>
  <c r="I40" i="9"/>
  <c r="I39" i="9"/>
  <c r="J38" i="9"/>
  <c r="H38" i="9"/>
  <c r="G38" i="9"/>
  <c r="F38" i="9"/>
  <c r="D38" i="9"/>
  <c r="I36" i="9"/>
  <c r="I35" i="9"/>
  <c r="J34" i="9"/>
  <c r="H34" i="9"/>
  <c r="G34" i="9"/>
  <c r="F34" i="9"/>
  <c r="D34" i="9"/>
  <c r="I33" i="9"/>
  <c r="I32" i="9" s="1"/>
  <c r="J32" i="9"/>
  <c r="D32" i="9" s="1"/>
  <c r="H32" i="9"/>
  <c r="G32" i="9"/>
  <c r="F32" i="9"/>
  <c r="I31" i="9"/>
  <c r="I30" i="9" s="1"/>
  <c r="J30" i="9"/>
  <c r="D30" i="9" s="1"/>
  <c r="H30" i="9"/>
  <c r="H29" i="9" s="1"/>
  <c r="G30" i="9"/>
  <c r="G29" i="9" s="1"/>
  <c r="F30" i="9"/>
  <c r="I28" i="9"/>
  <c r="I27" i="9"/>
  <c r="I26" i="9"/>
  <c r="J25" i="9"/>
  <c r="D25" i="9" s="1"/>
  <c r="H25" i="9"/>
  <c r="G25" i="9"/>
  <c r="F25" i="9"/>
  <c r="I24" i="9"/>
  <c r="I23" i="9"/>
  <c r="I22" i="9"/>
  <c r="I21" i="9"/>
  <c r="I20" i="9"/>
  <c r="I19" i="9"/>
  <c r="I18" i="9"/>
  <c r="I17" i="9"/>
  <c r="I16" i="9"/>
  <c r="I15" i="9"/>
  <c r="I14" i="9"/>
  <c r="I13" i="9"/>
  <c r="I12" i="9"/>
  <c r="J11" i="9"/>
  <c r="H11" i="9"/>
  <c r="G11" i="9"/>
  <c r="F11" i="9"/>
  <c r="I10" i="9"/>
  <c r="I9" i="9"/>
  <c r="I8" i="9"/>
  <c r="I7" i="9"/>
  <c r="I6" i="9"/>
  <c r="J5" i="9"/>
  <c r="D5" i="9" s="1"/>
  <c r="H5" i="9"/>
  <c r="G5" i="9"/>
  <c r="F5" i="9"/>
  <c r="G37" i="9" l="1"/>
  <c r="I34" i="9"/>
  <c r="N19" i="13"/>
  <c r="O19" i="13" s="1"/>
  <c r="J24" i="13"/>
  <c r="N24" i="13" s="1"/>
  <c r="O24" i="13" s="1"/>
  <c r="N15" i="13"/>
  <c r="O15" i="13" s="1"/>
  <c r="J15" i="12"/>
  <c r="J16" i="12"/>
  <c r="I19" i="12"/>
  <c r="I15" i="12"/>
  <c r="N15" i="12" s="1"/>
  <c r="O15" i="12" s="1"/>
  <c r="I23" i="12"/>
  <c r="J23" i="12"/>
  <c r="N20" i="12"/>
  <c r="O20" i="12" s="1"/>
  <c r="N12" i="12"/>
  <c r="O12" i="12" s="1"/>
  <c r="M24" i="10"/>
  <c r="H37" i="9"/>
  <c r="F4" i="9"/>
  <c r="J37" i="9"/>
  <c r="I42" i="9"/>
  <c r="I25" i="9"/>
  <c r="I38" i="9"/>
  <c r="I45" i="9"/>
  <c r="F37" i="9"/>
  <c r="D37" i="9"/>
  <c r="F29" i="9"/>
  <c r="F50" i="9" s="1"/>
  <c r="I29" i="9"/>
  <c r="D29" i="9"/>
  <c r="J29" i="9"/>
  <c r="G4" i="9"/>
  <c r="G50" i="9" s="1"/>
  <c r="H4" i="9"/>
  <c r="J4" i="9"/>
  <c r="D11" i="9"/>
  <c r="D4" i="9" s="1"/>
  <c r="I11" i="9"/>
  <c r="I5" i="9"/>
  <c r="F5" i="7"/>
  <c r="F25" i="7"/>
  <c r="F11" i="7"/>
  <c r="M12" i="6"/>
  <c r="I24" i="6"/>
  <c r="F4" i="7" l="1"/>
  <c r="J19" i="12"/>
  <c r="N19" i="12" s="1"/>
  <c r="O19" i="12" s="1"/>
  <c r="N23" i="12"/>
  <c r="O23" i="12" s="1"/>
  <c r="N16" i="12"/>
  <c r="O16" i="12" s="1"/>
  <c r="P22" i="10"/>
  <c r="I16" i="10"/>
  <c r="P12" i="10"/>
  <c r="I12" i="10"/>
  <c r="I20" i="10"/>
  <c r="J20" i="10" s="1"/>
  <c r="N20" i="10" s="1"/>
  <c r="O20" i="10" s="1"/>
  <c r="P17" i="10"/>
  <c r="I13" i="10"/>
  <c r="J13" i="10" s="1"/>
  <c r="N13" i="10" s="1"/>
  <c r="O13" i="10" s="1"/>
  <c r="P23" i="10"/>
  <c r="P14" i="10"/>
  <c r="I14" i="10"/>
  <c r="P16" i="10"/>
  <c r="P21" i="10"/>
  <c r="I22" i="10"/>
  <c r="P18" i="10"/>
  <c r="I17" i="10"/>
  <c r="J17" i="10" s="1"/>
  <c r="N17" i="10" s="1"/>
  <c r="O17" i="10" s="1"/>
  <c r="I18" i="10"/>
  <c r="J18" i="10" s="1"/>
  <c r="N18" i="10" s="1"/>
  <c r="O18" i="10" s="1"/>
  <c r="P24" i="10"/>
  <c r="P15" i="10"/>
  <c r="P20" i="10"/>
  <c r="I21" i="10"/>
  <c r="J21" i="10" s="1"/>
  <c r="N21" i="10" s="1"/>
  <c r="O21" i="10" s="1"/>
  <c r="J16" i="10"/>
  <c r="N16" i="10" s="1"/>
  <c r="O16" i="10" s="1"/>
  <c r="P13" i="10"/>
  <c r="P19" i="10"/>
  <c r="J12" i="10"/>
  <c r="N12" i="10" s="1"/>
  <c r="O12" i="10" s="1"/>
  <c r="J22" i="10"/>
  <c r="N22" i="10" s="1"/>
  <c r="O22" i="10" s="1"/>
  <c r="H50" i="9"/>
  <c r="J50" i="9"/>
  <c r="I37" i="9"/>
  <c r="D50" i="9"/>
  <c r="I4" i="9"/>
  <c r="F32" i="7"/>
  <c r="G32" i="7"/>
  <c r="F30" i="7"/>
  <c r="I49" i="7"/>
  <c r="I48" i="7"/>
  <c r="I47" i="7"/>
  <c r="I46" i="7"/>
  <c r="G45" i="7"/>
  <c r="H45" i="7"/>
  <c r="J45" i="7"/>
  <c r="D45" i="7" s="1"/>
  <c r="F45" i="7"/>
  <c r="I44" i="7"/>
  <c r="I43" i="7"/>
  <c r="G42" i="7"/>
  <c r="H42" i="7"/>
  <c r="J42" i="7"/>
  <c r="D42" i="7" s="1"/>
  <c r="F42" i="7"/>
  <c r="I41" i="7"/>
  <c r="I40" i="7"/>
  <c r="I39" i="7"/>
  <c r="G38" i="7"/>
  <c r="H38" i="7"/>
  <c r="J38" i="7"/>
  <c r="F38" i="7"/>
  <c r="I36" i="7"/>
  <c r="I35" i="7"/>
  <c r="G34" i="7"/>
  <c r="H34" i="7"/>
  <c r="J34" i="7"/>
  <c r="D34" i="7" s="1"/>
  <c r="F34" i="7"/>
  <c r="I33" i="7"/>
  <c r="I32" i="7" s="1"/>
  <c r="J32" i="7"/>
  <c r="D32" i="7" s="1"/>
  <c r="H32" i="7"/>
  <c r="I31" i="7"/>
  <c r="I30" i="7" s="1"/>
  <c r="G30" i="7"/>
  <c r="H30" i="7"/>
  <c r="J30" i="7"/>
  <c r="I28" i="7"/>
  <c r="I27" i="7"/>
  <c r="I26" i="7"/>
  <c r="G25" i="7"/>
  <c r="H25" i="7"/>
  <c r="J25" i="7"/>
  <c r="D25" i="7" s="1"/>
  <c r="I24" i="7"/>
  <c r="I23" i="7"/>
  <c r="I22" i="7"/>
  <c r="I21" i="7"/>
  <c r="I20" i="7"/>
  <c r="I19" i="7"/>
  <c r="I18" i="7"/>
  <c r="I17" i="7"/>
  <c r="I16" i="7"/>
  <c r="I15" i="7"/>
  <c r="I14" i="7"/>
  <c r="I13" i="7"/>
  <c r="I12" i="7"/>
  <c r="I10" i="7"/>
  <c r="G11" i="7"/>
  <c r="H11" i="7"/>
  <c r="J11" i="7"/>
  <c r="D11" i="7" s="1"/>
  <c r="I7" i="7"/>
  <c r="J5" i="7"/>
  <c r="H5" i="7"/>
  <c r="H4" i="7" s="1"/>
  <c r="I8" i="7"/>
  <c r="I9" i="7"/>
  <c r="I6" i="7"/>
  <c r="G5" i="7"/>
  <c r="G29" i="7" l="1"/>
  <c r="J37" i="7"/>
  <c r="G37" i="7"/>
  <c r="D38" i="7"/>
  <c r="D37" i="7" s="1"/>
  <c r="J24" i="12"/>
  <c r="N24" i="12" s="1"/>
  <c r="O24" i="12" s="1"/>
  <c r="I15" i="10"/>
  <c r="J14" i="10"/>
  <c r="N14" i="10" s="1"/>
  <c r="O14" i="10" s="1"/>
  <c r="I23" i="10"/>
  <c r="I19" i="10"/>
  <c r="J23" i="10"/>
  <c r="J19" i="10"/>
  <c r="J15" i="10"/>
  <c r="I50" i="9"/>
  <c r="G4" i="7"/>
  <c r="G50" i="7" s="1"/>
  <c r="F37" i="7"/>
  <c r="F29" i="7"/>
  <c r="D5" i="7"/>
  <c r="D4" i="7" s="1"/>
  <c r="J4" i="7"/>
  <c r="D30" i="7"/>
  <c r="D29" i="7" s="1"/>
  <c r="J29" i="7"/>
  <c r="H29" i="7"/>
  <c r="H37" i="7"/>
  <c r="I42" i="7"/>
  <c r="I25" i="7"/>
  <c r="I45" i="7"/>
  <c r="I38" i="7"/>
  <c r="I34" i="7"/>
  <c r="I29" i="7" s="1"/>
  <c r="I11" i="7"/>
  <c r="I5" i="7"/>
  <c r="I4" i="7" s="1"/>
  <c r="H23" i="6"/>
  <c r="G23" i="6"/>
  <c r="F23" i="6"/>
  <c r="E23" i="6"/>
  <c r="M22" i="6"/>
  <c r="M21" i="6"/>
  <c r="M20" i="6"/>
  <c r="H19" i="6"/>
  <c r="G19" i="6"/>
  <c r="F19" i="6"/>
  <c r="E19" i="6"/>
  <c r="M18" i="6"/>
  <c r="M17" i="6"/>
  <c r="M16" i="6"/>
  <c r="H15" i="6"/>
  <c r="G15" i="6"/>
  <c r="F15" i="6"/>
  <c r="E15" i="6"/>
  <c r="M14" i="6"/>
  <c r="M13" i="6"/>
  <c r="G24" i="6" l="1"/>
  <c r="D50" i="7"/>
  <c r="F50" i="7"/>
  <c r="I37" i="7"/>
  <c r="I50" i="7" s="1"/>
  <c r="H50" i="7"/>
  <c r="J50" i="7"/>
  <c r="N15" i="10"/>
  <c r="O15" i="10" s="1"/>
  <c r="N23" i="10"/>
  <c r="O23" i="10" s="1"/>
  <c r="N19" i="10"/>
  <c r="O19" i="10" s="1"/>
  <c r="J24" i="10"/>
  <c r="N24" i="10" s="1"/>
  <c r="O24" i="10" s="1"/>
  <c r="M23" i="6"/>
  <c r="H24" i="6"/>
  <c r="M19" i="6"/>
  <c r="F24" i="6"/>
  <c r="M15" i="6"/>
  <c r="E24" i="6"/>
  <c r="I6" i="6" l="1"/>
  <c r="M24" i="6"/>
  <c r="P15" i="6" s="1"/>
  <c r="P23" i="6" l="1"/>
  <c r="P24" i="6"/>
  <c r="I16" i="6"/>
  <c r="P12" i="6"/>
  <c r="I12" i="6"/>
  <c r="P18" i="6"/>
  <c r="P16" i="6"/>
  <c r="P20" i="6"/>
  <c r="P22" i="6"/>
  <c r="P14" i="6"/>
  <c r="P21" i="6"/>
  <c r="P13" i="6"/>
  <c r="P17" i="6"/>
  <c r="P19" i="6"/>
  <c r="I22" i="6"/>
  <c r="J22" i="6" s="1"/>
  <c r="N22" i="6" s="1"/>
  <c r="O22" i="6" s="1"/>
  <c r="I21" i="6"/>
  <c r="J21" i="6" s="1"/>
  <c r="I18" i="6"/>
  <c r="J18" i="6" s="1"/>
  <c r="N18" i="6" s="1"/>
  <c r="O18" i="6" s="1"/>
  <c r="I13" i="6"/>
  <c r="J13" i="6" s="1"/>
  <c r="N13" i="6" s="1"/>
  <c r="O13" i="6" s="1"/>
  <c r="I17" i="6"/>
  <c r="J17" i="6" s="1"/>
  <c r="N17" i="6" s="1"/>
  <c r="O17" i="6" s="1"/>
  <c r="J16" i="6"/>
  <c r="N16" i="6" s="1"/>
  <c r="O16" i="6" s="1"/>
  <c r="I14" i="6"/>
  <c r="J14" i="6" s="1"/>
  <c r="I20" i="6"/>
  <c r="N21" i="6" l="1"/>
  <c r="O21" i="6" s="1"/>
  <c r="I23" i="6"/>
  <c r="I15" i="6"/>
  <c r="I19" i="6"/>
  <c r="J20" i="6"/>
  <c r="J23" i="6" s="1"/>
  <c r="N14" i="6"/>
  <c r="O14" i="6" s="1"/>
  <c r="J12" i="6"/>
  <c r="J19" i="6"/>
  <c r="N12" i="6" l="1"/>
  <c r="O12" i="6" s="1"/>
  <c r="N19" i="6"/>
  <c r="O19" i="6" s="1"/>
  <c r="J15" i="6"/>
  <c r="N15" i="6" s="1"/>
  <c r="O15" i="6" s="1"/>
  <c r="N23" i="6"/>
  <c r="O23" i="6" s="1"/>
  <c r="N20" i="6"/>
  <c r="O20" i="6" s="1"/>
  <c r="J24" i="6" l="1"/>
  <c r="N24" i="6"/>
  <c r="O24" i="6" l="1"/>
  <c r="P17" i="22"/>
  <c r="P24" i="22"/>
  <c r="P12" i="22"/>
  <c r="P20" i="22"/>
  <c r="P16" i="22"/>
  <c r="P13" i="22"/>
  <c r="P14" i="22"/>
  <c r="P19" i="22"/>
  <c r="P21" i="22"/>
  <c r="P22" i="22"/>
  <c r="P23" i="22"/>
  <c r="P15" i="22"/>
  <c r="P18" i="22"/>
  <c r="J14" i="22"/>
  <c r="N14" i="22" s="1"/>
  <c r="O14" i="22" s="1"/>
  <c r="J21" i="22"/>
  <c r="N21" i="22" s="1"/>
  <c r="O21" i="22" s="1"/>
  <c r="J18" i="22"/>
  <c r="N18" i="22" s="1"/>
  <c r="O18" i="22" s="1"/>
  <c r="J17" i="22"/>
  <c r="N17" i="22" s="1"/>
  <c r="O17" i="22" s="1"/>
  <c r="J13" i="22"/>
  <c r="J16" i="22"/>
  <c r="J12" i="22"/>
  <c r="J19" i="22" l="1"/>
  <c r="N19" i="22" s="1"/>
  <c r="O19" i="22" s="1"/>
  <c r="J15" i="22"/>
  <c r="N15" i="22" s="1"/>
  <c r="O15" i="22" s="1"/>
  <c r="N16" i="22"/>
  <c r="O16" i="22" s="1"/>
  <c r="J20" i="22"/>
  <c r="J22" i="22"/>
  <c r="N22" i="22" s="1"/>
  <c r="O22" i="22" s="1"/>
  <c r="N13" i="22"/>
  <c r="O13" i="22" s="1"/>
  <c r="N12" i="22"/>
  <c r="O12" i="22" s="1"/>
  <c r="N20" i="22" l="1"/>
  <c r="O20" i="22" s="1"/>
  <c r="J23" i="22"/>
  <c r="J24" i="22" s="1"/>
  <c r="N24" i="22" s="1"/>
  <c r="O24" i="22" s="1"/>
  <c r="N23" i="22" l="1"/>
  <c r="O23" i="22" s="1"/>
</calcChain>
</file>

<file path=xl/comments1.xml><?xml version="1.0" encoding="utf-8"?>
<comments xmlns="http://schemas.openxmlformats.org/spreadsheetml/2006/main">
  <authors>
    <author xml:space="preserve"> </author>
  </authors>
  <commentList>
    <comment ref="J14" authorId="0" shapeId="0">
      <text>
        <r>
          <rPr>
            <sz val="14"/>
            <color indexed="81"/>
            <rFont val="AR P丸ゴシック体E"/>
            <family val="3"/>
            <charset val="128"/>
          </rPr>
          <t>調整：＋１</t>
        </r>
      </text>
    </comment>
    <comment ref="G15" authorId="0" shapeId="0">
      <text>
        <r>
          <rPr>
            <sz val="14"/>
            <color indexed="81"/>
            <rFont val="AR P丸ゴシック体E"/>
            <family val="3"/>
            <charset val="128"/>
          </rPr>
          <t>調整：＋１</t>
        </r>
      </text>
    </comment>
    <comment ref="H19" authorId="0" shapeId="0">
      <text>
        <r>
          <rPr>
            <sz val="14"/>
            <color indexed="81"/>
            <rFont val="AR P丸ゴシック体E"/>
            <family val="3"/>
            <charset val="128"/>
          </rPr>
          <t>調整：△１</t>
        </r>
      </text>
    </comment>
    <comment ref="G22" authorId="0" shapeId="0">
      <text>
        <r>
          <rPr>
            <sz val="14"/>
            <color indexed="81"/>
            <rFont val="AR P丸ゴシック体E"/>
            <family val="3"/>
            <charset val="128"/>
          </rPr>
          <t>調整：＋１</t>
        </r>
      </text>
    </comment>
  </commentList>
</comments>
</file>

<file path=xl/comments2.xml><?xml version="1.0" encoding="utf-8"?>
<comments xmlns="http://schemas.openxmlformats.org/spreadsheetml/2006/main">
  <authors>
    <author xml:space="preserve"> </author>
  </authors>
  <commentList>
    <comment ref="I14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>調整△１</t>
        </r>
      </text>
    </comment>
    <comment ref="E17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>調整△１</t>
        </r>
      </text>
    </comment>
  </commentList>
</comments>
</file>

<file path=xl/comments3.xml><?xml version="1.0" encoding="utf-8"?>
<comments xmlns="http://schemas.openxmlformats.org/spreadsheetml/2006/main">
  <authors>
    <author xml:space="preserve"> </author>
  </authors>
  <commentList>
    <comment ref="H12" authorId="0" shapeId="0">
      <text>
        <r>
          <rPr>
            <b/>
            <sz val="18"/>
            <color indexed="81"/>
            <rFont val="MS P ゴシック"/>
            <family val="3"/>
            <charset val="128"/>
          </rPr>
          <t xml:space="preserve">調整+１
</t>
        </r>
      </text>
    </comment>
    <comment ref="H22" authorId="0" shapeId="0">
      <text>
        <r>
          <rPr>
            <b/>
            <sz val="16"/>
            <color indexed="81"/>
            <rFont val="MS P ゴシック"/>
            <family val="3"/>
            <charset val="128"/>
          </rPr>
          <t>調整+１</t>
        </r>
      </text>
    </comment>
  </commentList>
</comments>
</file>

<file path=xl/comments4.xml><?xml version="1.0" encoding="utf-8"?>
<comments xmlns="http://schemas.openxmlformats.org/spreadsheetml/2006/main">
  <authors>
    <author xml:space="preserve"> </author>
  </authors>
  <commentList>
    <comment ref="I13" authorId="0" shapeId="0">
      <text>
        <r>
          <rPr>
            <b/>
            <sz val="14"/>
            <color indexed="10"/>
            <rFont val="MS P ゴシック"/>
            <family val="3"/>
            <charset val="128"/>
          </rPr>
          <t>調整△１</t>
        </r>
      </text>
    </comment>
  </commentList>
</comments>
</file>

<file path=xl/comments5.xml><?xml version="1.0" encoding="utf-8"?>
<comments xmlns="http://schemas.openxmlformats.org/spreadsheetml/2006/main">
  <authors>
    <author xml:space="preserve"> </author>
  </authors>
  <commentList>
    <comment ref="I16" authorId="0" shapeId="0">
      <text>
        <r>
          <rPr>
            <b/>
            <sz val="16"/>
            <color indexed="81"/>
            <rFont val="ＭＳ Ｐゴシック"/>
            <family val="3"/>
            <charset val="128"/>
          </rPr>
          <t xml:space="preserve">調整△１
</t>
        </r>
      </text>
    </comment>
  </commentList>
</comments>
</file>

<file path=xl/sharedStrings.xml><?xml version="1.0" encoding="utf-8"?>
<sst xmlns="http://schemas.openxmlformats.org/spreadsheetml/2006/main" count="1401" uniqueCount="237">
  <si>
    <t>（歳入）</t>
    <rPh sb="1" eb="3">
      <t>サイニュウ</t>
    </rPh>
    <phoneticPr fontId="2"/>
  </si>
  <si>
    <t>地方消費税交付金（社会保障財源化分）</t>
    <rPh sb="0" eb="2">
      <t>チホウ</t>
    </rPh>
    <rPh sb="2" eb="5">
      <t>ショウヒゼイ</t>
    </rPh>
    <rPh sb="5" eb="8">
      <t>コウフキン</t>
    </rPh>
    <rPh sb="9" eb="11">
      <t>シャカイ</t>
    </rPh>
    <rPh sb="11" eb="13">
      <t>ホショウ</t>
    </rPh>
    <rPh sb="13" eb="15">
      <t>ザイゲン</t>
    </rPh>
    <rPh sb="15" eb="16">
      <t>カ</t>
    </rPh>
    <rPh sb="16" eb="17">
      <t>ブン</t>
    </rPh>
    <phoneticPr fontId="2"/>
  </si>
  <si>
    <t>（歳出）</t>
    <rPh sb="1" eb="3">
      <t>サイシュツ</t>
    </rPh>
    <phoneticPr fontId="2"/>
  </si>
  <si>
    <t>地方消費税交付金（社会保障財源化分）が充てられる社会保障施策に要する経費</t>
    <rPh sb="0" eb="2">
      <t>チホウ</t>
    </rPh>
    <rPh sb="2" eb="5">
      <t>ショウヒゼイ</t>
    </rPh>
    <rPh sb="5" eb="8">
      <t>コウフキン</t>
    </rPh>
    <rPh sb="9" eb="11">
      <t>シャカイ</t>
    </rPh>
    <rPh sb="11" eb="13">
      <t>ホショウ</t>
    </rPh>
    <rPh sb="13" eb="15">
      <t>ザイゲン</t>
    </rPh>
    <rPh sb="15" eb="16">
      <t>カ</t>
    </rPh>
    <rPh sb="16" eb="17">
      <t>ブン</t>
    </rPh>
    <rPh sb="19" eb="20">
      <t>ア</t>
    </rPh>
    <rPh sb="24" eb="26">
      <t>シャカイ</t>
    </rPh>
    <rPh sb="26" eb="28">
      <t>ホショウ</t>
    </rPh>
    <rPh sb="28" eb="30">
      <t>シサク</t>
    </rPh>
    <rPh sb="31" eb="32">
      <t>ヨウ</t>
    </rPh>
    <rPh sb="34" eb="36">
      <t>ケイヒ</t>
    </rPh>
    <phoneticPr fontId="2"/>
  </si>
  <si>
    <t>【社会保障施策に要する経費】</t>
    <rPh sb="1" eb="3">
      <t>シャカイ</t>
    </rPh>
    <rPh sb="3" eb="5">
      <t>ホショウ</t>
    </rPh>
    <rPh sb="5" eb="7">
      <t>シサク</t>
    </rPh>
    <rPh sb="8" eb="9">
      <t>ヨウ</t>
    </rPh>
    <rPh sb="11" eb="13">
      <t>ケイヒ</t>
    </rPh>
    <phoneticPr fontId="2"/>
  </si>
  <si>
    <t>区分</t>
    <rPh sb="0" eb="2">
      <t>クブン</t>
    </rPh>
    <phoneticPr fontId="2"/>
  </si>
  <si>
    <t>事業名</t>
    <rPh sb="0" eb="2">
      <t>ジギョウ</t>
    </rPh>
    <rPh sb="2" eb="3">
      <t>メイ</t>
    </rPh>
    <phoneticPr fontId="2"/>
  </si>
  <si>
    <t>国・道支出金</t>
    <rPh sb="0" eb="1">
      <t>クニ</t>
    </rPh>
    <rPh sb="2" eb="3">
      <t>ドウ</t>
    </rPh>
    <rPh sb="3" eb="6">
      <t>シシュツキン</t>
    </rPh>
    <phoneticPr fontId="2"/>
  </si>
  <si>
    <t>地方債</t>
    <rPh sb="0" eb="3">
      <t>チホウサイ</t>
    </rPh>
    <phoneticPr fontId="2"/>
  </si>
  <si>
    <t>その他</t>
    <rPh sb="2" eb="3">
      <t>ホカ</t>
    </rPh>
    <phoneticPr fontId="2"/>
  </si>
  <si>
    <t>特定財源</t>
    <rPh sb="0" eb="2">
      <t>トクテイ</t>
    </rPh>
    <rPh sb="2" eb="4">
      <t>ザイゲン</t>
    </rPh>
    <phoneticPr fontId="2"/>
  </si>
  <si>
    <t>一般財源</t>
    <rPh sb="0" eb="2">
      <t>イッパン</t>
    </rPh>
    <rPh sb="2" eb="4">
      <t>ザイゲン</t>
    </rPh>
    <phoneticPr fontId="2"/>
  </si>
  <si>
    <t>地方消費税交付金
（社会保障財源化分）</t>
    <rPh sb="0" eb="2">
      <t>チホウ</t>
    </rPh>
    <rPh sb="2" eb="5">
      <t>ショウヒゼイ</t>
    </rPh>
    <rPh sb="5" eb="8">
      <t>コウフキン</t>
    </rPh>
    <rPh sb="10" eb="12">
      <t>シャカイ</t>
    </rPh>
    <rPh sb="12" eb="14">
      <t>ホショウ</t>
    </rPh>
    <rPh sb="14" eb="16">
      <t>ザイゲン</t>
    </rPh>
    <rPh sb="16" eb="17">
      <t>カ</t>
    </rPh>
    <rPh sb="17" eb="18">
      <t>ブン</t>
    </rPh>
    <phoneticPr fontId="2"/>
  </si>
  <si>
    <t>財源内訳</t>
    <rPh sb="0" eb="2">
      <t>ザイゲン</t>
    </rPh>
    <rPh sb="2" eb="4">
      <t>ウチワケ</t>
    </rPh>
    <phoneticPr fontId="2"/>
  </si>
  <si>
    <t>（単位：千円）</t>
    <rPh sb="1" eb="3">
      <t>タンイ</t>
    </rPh>
    <rPh sb="4" eb="6">
      <t>センエン</t>
    </rPh>
    <phoneticPr fontId="2"/>
  </si>
  <si>
    <t>合計</t>
    <rPh sb="0" eb="2">
      <t>ゴウケイ</t>
    </rPh>
    <phoneticPr fontId="2"/>
  </si>
  <si>
    <t>社会福祉</t>
    <rPh sb="0" eb="2">
      <t>シャカイ</t>
    </rPh>
    <rPh sb="2" eb="4">
      <t>フクシ</t>
    </rPh>
    <phoneticPr fontId="2"/>
  </si>
  <si>
    <t>社会保険</t>
    <rPh sb="0" eb="2">
      <t>シャカイ</t>
    </rPh>
    <rPh sb="2" eb="4">
      <t>ホケン</t>
    </rPh>
    <phoneticPr fontId="2"/>
  </si>
  <si>
    <t>保健衛生</t>
    <rPh sb="0" eb="2">
      <t>ホケン</t>
    </rPh>
    <rPh sb="2" eb="4">
      <t>エイセイ</t>
    </rPh>
    <phoneticPr fontId="2"/>
  </si>
  <si>
    <t>国民健康保険事業</t>
    <rPh sb="0" eb="2">
      <t>コクミン</t>
    </rPh>
    <rPh sb="2" eb="4">
      <t>ケンコウ</t>
    </rPh>
    <rPh sb="4" eb="6">
      <t>ホケン</t>
    </rPh>
    <rPh sb="6" eb="8">
      <t>ジギョウ</t>
    </rPh>
    <phoneticPr fontId="2"/>
  </si>
  <si>
    <t>介護保険事業</t>
    <rPh sb="0" eb="2">
      <t>カイゴ</t>
    </rPh>
    <rPh sb="2" eb="4">
      <t>ホケン</t>
    </rPh>
    <rPh sb="4" eb="6">
      <t>ジギョウ</t>
    </rPh>
    <phoneticPr fontId="2"/>
  </si>
  <si>
    <t>後期高齢者医療事業</t>
    <rPh sb="0" eb="2">
      <t>コウキ</t>
    </rPh>
    <rPh sb="2" eb="5">
      <t>コウレイシャ</t>
    </rPh>
    <rPh sb="5" eb="7">
      <t>イリョウ</t>
    </rPh>
    <rPh sb="7" eb="9">
      <t>ジギョウ</t>
    </rPh>
    <phoneticPr fontId="2"/>
  </si>
  <si>
    <t>小計</t>
    <rPh sb="0" eb="2">
      <t>ショウケイ</t>
    </rPh>
    <phoneticPr fontId="2"/>
  </si>
  <si>
    <t>医療施策事業</t>
    <rPh sb="0" eb="2">
      <t>イリョウ</t>
    </rPh>
    <rPh sb="2" eb="4">
      <t>シサク</t>
    </rPh>
    <rPh sb="4" eb="6">
      <t>ジギョウ</t>
    </rPh>
    <phoneticPr fontId="2"/>
  </si>
  <si>
    <t>高齢者福祉事業</t>
    <rPh sb="0" eb="3">
      <t>コウレイシャ</t>
    </rPh>
    <rPh sb="3" eb="5">
      <t>フクシ</t>
    </rPh>
    <rPh sb="5" eb="7">
      <t>ジギョウ</t>
    </rPh>
    <phoneticPr fontId="2"/>
  </si>
  <si>
    <t>児童福祉事業</t>
    <rPh sb="0" eb="2">
      <t>ジドウ</t>
    </rPh>
    <rPh sb="2" eb="4">
      <t>フクシ</t>
    </rPh>
    <rPh sb="4" eb="6">
      <t>ジギョウ</t>
    </rPh>
    <phoneticPr fontId="2"/>
  </si>
  <si>
    <t>疾病予防対策事業</t>
    <rPh sb="0" eb="2">
      <t>シッペイ</t>
    </rPh>
    <rPh sb="2" eb="4">
      <t>ヨボウ</t>
    </rPh>
    <rPh sb="4" eb="6">
      <t>タイサク</t>
    </rPh>
    <rPh sb="6" eb="8">
      <t>ジギョウ</t>
    </rPh>
    <phoneticPr fontId="2"/>
  </si>
  <si>
    <t>健康増進対策事業</t>
    <rPh sb="0" eb="2">
      <t>ケンコウ</t>
    </rPh>
    <rPh sb="2" eb="4">
      <t>ゾウシン</t>
    </rPh>
    <rPh sb="4" eb="6">
      <t>タイサク</t>
    </rPh>
    <rPh sb="6" eb="8">
      <t>ジギョウ</t>
    </rPh>
    <phoneticPr fontId="2"/>
  </si>
  <si>
    <t>障害者福祉事業</t>
    <rPh sb="0" eb="3">
      <t>ショウガイシャ</t>
    </rPh>
    <rPh sb="3" eb="5">
      <t>フクシ</t>
    </rPh>
    <rPh sb="5" eb="7">
      <t>ジギョウ</t>
    </rPh>
    <phoneticPr fontId="2"/>
  </si>
  <si>
    <t>一般財源
総額</t>
    <rPh sb="0" eb="2">
      <t>イッパン</t>
    </rPh>
    <rPh sb="2" eb="4">
      <t>ザイゲン</t>
    </rPh>
    <rPh sb="5" eb="7">
      <t>ソウガク</t>
    </rPh>
    <phoneticPr fontId="2"/>
  </si>
  <si>
    <t>※地方消費税交付金（社会保障財源化分）は、各事業に要する一般財源の比率に応じて按分して充当しています。</t>
    <rPh sb="1" eb="3">
      <t>チホウ</t>
    </rPh>
    <rPh sb="3" eb="6">
      <t>ショウヒゼイ</t>
    </rPh>
    <rPh sb="6" eb="9">
      <t>コウフキン</t>
    </rPh>
    <rPh sb="10" eb="12">
      <t>シャカイ</t>
    </rPh>
    <rPh sb="12" eb="14">
      <t>ホショウ</t>
    </rPh>
    <rPh sb="14" eb="16">
      <t>ザイゲン</t>
    </rPh>
    <rPh sb="16" eb="17">
      <t>カ</t>
    </rPh>
    <rPh sb="17" eb="18">
      <t>ブン</t>
    </rPh>
    <rPh sb="21" eb="22">
      <t>カク</t>
    </rPh>
    <rPh sb="22" eb="24">
      <t>ジギョウ</t>
    </rPh>
    <rPh sb="25" eb="26">
      <t>ヨウ</t>
    </rPh>
    <rPh sb="28" eb="30">
      <t>イッパン</t>
    </rPh>
    <rPh sb="30" eb="32">
      <t>ザイゲン</t>
    </rPh>
    <rPh sb="33" eb="35">
      <t>ヒリツ</t>
    </rPh>
    <rPh sb="36" eb="37">
      <t>オウ</t>
    </rPh>
    <rPh sb="39" eb="41">
      <t>アンブン</t>
    </rPh>
    <rPh sb="43" eb="45">
      <t>ジュウトウ</t>
    </rPh>
    <phoneticPr fontId="2"/>
  </si>
  <si>
    <t>事業名）国民健康保険特別会計繰出金</t>
    <rPh sb="0" eb="2">
      <t>ジギョウ</t>
    </rPh>
    <rPh sb="2" eb="3">
      <t>メイ</t>
    </rPh>
    <rPh sb="4" eb="6">
      <t>コクミン</t>
    </rPh>
    <rPh sb="6" eb="8">
      <t>ケンコウ</t>
    </rPh>
    <rPh sb="8" eb="10">
      <t>ホケン</t>
    </rPh>
    <rPh sb="10" eb="12">
      <t>トクベツ</t>
    </rPh>
    <rPh sb="12" eb="14">
      <t>カイケイ</t>
    </rPh>
    <rPh sb="14" eb="17">
      <t>クリダシキン</t>
    </rPh>
    <phoneticPr fontId="2"/>
  </si>
  <si>
    <t>事業名）介護保険特別会計繰出金</t>
    <rPh sb="0" eb="2">
      <t>ジギョウ</t>
    </rPh>
    <rPh sb="2" eb="3">
      <t>メイ</t>
    </rPh>
    <rPh sb="4" eb="6">
      <t>カイゴ</t>
    </rPh>
    <rPh sb="6" eb="8">
      <t>ホケン</t>
    </rPh>
    <rPh sb="8" eb="10">
      <t>トクベツ</t>
    </rPh>
    <rPh sb="10" eb="12">
      <t>カイケイ</t>
    </rPh>
    <rPh sb="12" eb="15">
      <t>クリダシキン</t>
    </rPh>
    <phoneticPr fontId="2"/>
  </si>
  <si>
    <t>事業名）後期高齢者医療療養給付費負担金</t>
    <rPh sb="0" eb="2">
      <t>ジギョウ</t>
    </rPh>
    <rPh sb="2" eb="3">
      <t>メイ</t>
    </rPh>
    <rPh sb="4" eb="6">
      <t>コウキ</t>
    </rPh>
    <rPh sb="6" eb="9">
      <t>コウレイシャ</t>
    </rPh>
    <rPh sb="9" eb="11">
      <t>イリョウ</t>
    </rPh>
    <rPh sb="11" eb="13">
      <t>リョウヨウ</t>
    </rPh>
    <rPh sb="13" eb="16">
      <t>キュウフヒ</t>
    </rPh>
    <rPh sb="16" eb="19">
      <t>フタンキン</t>
    </rPh>
    <phoneticPr fontId="2"/>
  </si>
  <si>
    <t>医療施策事業</t>
    <rPh sb="0" eb="2">
      <t>イリョウ</t>
    </rPh>
    <rPh sb="2" eb="4">
      <t>セサク</t>
    </rPh>
    <rPh sb="4" eb="6">
      <t>ジギョウ</t>
    </rPh>
    <phoneticPr fontId="2"/>
  </si>
  <si>
    <t>事業名）予防事業一般事務経費</t>
    <rPh sb="0" eb="2">
      <t>ジギョウ</t>
    </rPh>
    <rPh sb="2" eb="3">
      <t>メイ</t>
    </rPh>
    <rPh sb="4" eb="6">
      <t>ヨボウ</t>
    </rPh>
    <rPh sb="6" eb="8">
      <t>ジギョウ</t>
    </rPh>
    <rPh sb="8" eb="10">
      <t>イッパン</t>
    </rPh>
    <rPh sb="10" eb="12">
      <t>ジム</t>
    </rPh>
    <rPh sb="12" eb="14">
      <t>ケイヒ</t>
    </rPh>
    <phoneticPr fontId="2"/>
  </si>
  <si>
    <t>事業名）各種がん検診事業経費</t>
    <rPh sb="0" eb="2">
      <t>ジギョウ</t>
    </rPh>
    <rPh sb="2" eb="3">
      <t>メイ</t>
    </rPh>
    <rPh sb="4" eb="6">
      <t>カクシュ</t>
    </rPh>
    <rPh sb="8" eb="10">
      <t>ケンシン</t>
    </rPh>
    <rPh sb="10" eb="12">
      <t>ジギョウ</t>
    </rPh>
    <rPh sb="12" eb="14">
      <t>ケイヒ</t>
    </rPh>
    <phoneticPr fontId="2"/>
  </si>
  <si>
    <t>事業名）ひとり親家庭等医療費助成事業</t>
    <rPh sb="0" eb="2">
      <t>ジギョウ</t>
    </rPh>
    <rPh sb="2" eb="3">
      <t>メイ</t>
    </rPh>
    <rPh sb="7" eb="8">
      <t>オヤ</t>
    </rPh>
    <rPh sb="8" eb="10">
      <t>カテイ</t>
    </rPh>
    <rPh sb="10" eb="11">
      <t>ナド</t>
    </rPh>
    <rPh sb="11" eb="14">
      <t>イリョウヒ</t>
    </rPh>
    <rPh sb="14" eb="16">
      <t>ジョセイ</t>
    </rPh>
    <rPh sb="16" eb="18">
      <t>ジギョウ</t>
    </rPh>
    <phoneticPr fontId="2"/>
  </si>
  <si>
    <t>平成28年度一般会計決算における地方消費税交付金（社会保障財源化分）が充てられる社会保障施策に要する経費</t>
    <rPh sb="0" eb="2">
      <t>ヘイセイ</t>
    </rPh>
    <rPh sb="4" eb="6">
      <t>ネンド</t>
    </rPh>
    <rPh sb="6" eb="8">
      <t>イッパン</t>
    </rPh>
    <rPh sb="8" eb="10">
      <t>カイケイ</t>
    </rPh>
    <rPh sb="10" eb="12">
      <t>ケッサン</t>
    </rPh>
    <rPh sb="16" eb="18">
      <t>チホウ</t>
    </rPh>
    <rPh sb="18" eb="21">
      <t>ショウヒゼイ</t>
    </rPh>
    <rPh sb="21" eb="24">
      <t>コウフキン</t>
    </rPh>
    <rPh sb="25" eb="27">
      <t>シャカイ</t>
    </rPh>
    <rPh sb="27" eb="29">
      <t>ホショウ</t>
    </rPh>
    <rPh sb="29" eb="31">
      <t>ザイゲン</t>
    </rPh>
    <rPh sb="31" eb="33">
      <t>カブン</t>
    </rPh>
    <rPh sb="35" eb="36">
      <t>ア</t>
    </rPh>
    <rPh sb="40" eb="42">
      <t>シャカイ</t>
    </rPh>
    <rPh sb="42" eb="44">
      <t>ホショウ</t>
    </rPh>
    <rPh sb="44" eb="46">
      <t>シサク</t>
    </rPh>
    <rPh sb="47" eb="48">
      <t>ヨウ</t>
    </rPh>
    <rPh sb="50" eb="52">
      <t>ケイヒ</t>
    </rPh>
    <phoneticPr fontId="2"/>
  </si>
  <si>
    <t>平成28年度
決算額</t>
    <rPh sb="0" eb="2">
      <t>ヘイセイ</t>
    </rPh>
    <rPh sb="4" eb="6">
      <t>ネンド</t>
    </rPh>
    <rPh sb="7" eb="9">
      <t>ケッサン</t>
    </rPh>
    <rPh sb="9" eb="10">
      <t>ガク</t>
    </rPh>
    <phoneticPr fontId="2"/>
  </si>
  <si>
    <t>重度心身障害者医療費助成事業</t>
    <rPh sb="0" eb="2">
      <t>ジュウド</t>
    </rPh>
    <rPh sb="2" eb="4">
      <t>シンシン</t>
    </rPh>
    <rPh sb="4" eb="7">
      <t>ショウガイシャ</t>
    </rPh>
    <rPh sb="7" eb="10">
      <t>イリョウヒ</t>
    </rPh>
    <rPh sb="10" eb="12">
      <t>ジョセイ</t>
    </rPh>
    <rPh sb="12" eb="14">
      <t>ジギョウ</t>
    </rPh>
    <phoneticPr fontId="2"/>
  </si>
  <si>
    <t>障害者自立支援給付等事業</t>
    <rPh sb="0" eb="3">
      <t>ショウガイシャ</t>
    </rPh>
    <rPh sb="3" eb="5">
      <t>ジリツ</t>
    </rPh>
    <rPh sb="5" eb="7">
      <t>シエン</t>
    </rPh>
    <rPh sb="7" eb="9">
      <t>キュウフ</t>
    </rPh>
    <rPh sb="9" eb="10">
      <t>ナド</t>
    </rPh>
    <rPh sb="10" eb="12">
      <t>ジギョウ</t>
    </rPh>
    <phoneticPr fontId="2"/>
  </si>
  <si>
    <t>障害者自立支援医療給付事業</t>
    <rPh sb="0" eb="3">
      <t>ショウガイシャ</t>
    </rPh>
    <rPh sb="3" eb="5">
      <t>ジリツ</t>
    </rPh>
    <rPh sb="5" eb="7">
      <t>シエン</t>
    </rPh>
    <rPh sb="7" eb="9">
      <t>イリョウ</t>
    </rPh>
    <rPh sb="9" eb="11">
      <t>キュウフ</t>
    </rPh>
    <rPh sb="11" eb="13">
      <t>ジギョウ</t>
    </rPh>
    <phoneticPr fontId="2"/>
  </si>
  <si>
    <t>地域生活支援事業</t>
    <rPh sb="0" eb="2">
      <t>チイキ</t>
    </rPh>
    <rPh sb="2" eb="4">
      <t>セイカツ</t>
    </rPh>
    <rPh sb="4" eb="6">
      <t>シエン</t>
    </rPh>
    <rPh sb="6" eb="8">
      <t>ジギョウ</t>
    </rPh>
    <phoneticPr fontId="2"/>
  </si>
  <si>
    <t>計</t>
    <rPh sb="0" eb="1">
      <t>ケイ</t>
    </rPh>
    <phoneticPr fontId="2"/>
  </si>
  <si>
    <t>身体障害児支援費事業</t>
    <rPh sb="0" eb="2">
      <t>シンタイ</t>
    </rPh>
    <rPh sb="2" eb="5">
      <t>ショウガイジ</t>
    </rPh>
    <rPh sb="5" eb="8">
      <t>シエンヒ</t>
    </rPh>
    <rPh sb="8" eb="10">
      <t>ジギョウ</t>
    </rPh>
    <phoneticPr fontId="2"/>
  </si>
  <si>
    <t>決算額</t>
    <rPh sb="0" eb="3">
      <t>ケッサンガク</t>
    </rPh>
    <phoneticPr fontId="2"/>
  </si>
  <si>
    <t>生活支援ハウス運営委託事業</t>
    <rPh sb="0" eb="2">
      <t>セイカツ</t>
    </rPh>
    <rPh sb="2" eb="4">
      <t>シエン</t>
    </rPh>
    <rPh sb="7" eb="9">
      <t>ウンエイ</t>
    </rPh>
    <rPh sb="9" eb="11">
      <t>イタク</t>
    </rPh>
    <rPh sb="11" eb="13">
      <t>ジギョウ</t>
    </rPh>
    <phoneticPr fontId="2"/>
  </si>
  <si>
    <t>在宅高齢者短期入所委託事業</t>
    <rPh sb="0" eb="2">
      <t>ザイタク</t>
    </rPh>
    <rPh sb="2" eb="5">
      <t>コウレイシャ</t>
    </rPh>
    <rPh sb="5" eb="7">
      <t>タンキ</t>
    </rPh>
    <rPh sb="7" eb="9">
      <t>ニュウショ</t>
    </rPh>
    <rPh sb="9" eb="11">
      <t>イタク</t>
    </rPh>
    <rPh sb="11" eb="13">
      <t>ジギョウ</t>
    </rPh>
    <phoneticPr fontId="2"/>
  </si>
  <si>
    <t>介護予防通所委託事業</t>
    <rPh sb="0" eb="2">
      <t>カイゴ</t>
    </rPh>
    <rPh sb="2" eb="4">
      <t>ヨボウ</t>
    </rPh>
    <rPh sb="4" eb="6">
      <t>ツウショ</t>
    </rPh>
    <rPh sb="6" eb="8">
      <t>イタク</t>
    </rPh>
    <rPh sb="8" eb="10">
      <t>ジギョウ</t>
    </rPh>
    <phoneticPr fontId="2"/>
  </si>
  <si>
    <t>介護予防家事援助委託事業</t>
    <rPh sb="0" eb="2">
      <t>カイゴ</t>
    </rPh>
    <rPh sb="2" eb="4">
      <t>ヨボウ</t>
    </rPh>
    <rPh sb="4" eb="6">
      <t>カジ</t>
    </rPh>
    <rPh sb="6" eb="8">
      <t>エンジョ</t>
    </rPh>
    <rPh sb="8" eb="10">
      <t>イタク</t>
    </rPh>
    <rPh sb="10" eb="12">
      <t>ジギョウ</t>
    </rPh>
    <phoneticPr fontId="2"/>
  </si>
  <si>
    <t>高齢者在宅生活支援事業</t>
    <rPh sb="0" eb="3">
      <t>コウレイシャ</t>
    </rPh>
    <rPh sb="3" eb="5">
      <t>ザイタク</t>
    </rPh>
    <rPh sb="5" eb="7">
      <t>セイカツ</t>
    </rPh>
    <rPh sb="7" eb="9">
      <t>シエン</t>
    </rPh>
    <rPh sb="9" eb="11">
      <t>ジギョウ</t>
    </rPh>
    <phoneticPr fontId="2"/>
  </si>
  <si>
    <t>緊急通報システム管理委託事業</t>
    <rPh sb="0" eb="2">
      <t>キンキュウ</t>
    </rPh>
    <rPh sb="2" eb="4">
      <t>ツウホウ</t>
    </rPh>
    <rPh sb="8" eb="10">
      <t>カンリ</t>
    </rPh>
    <rPh sb="10" eb="12">
      <t>イタク</t>
    </rPh>
    <rPh sb="12" eb="14">
      <t>ジギョウ</t>
    </rPh>
    <phoneticPr fontId="2"/>
  </si>
  <si>
    <t>老人福祉一般事務経費</t>
    <rPh sb="0" eb="2">
      <t>ロウジン</t>
    </rPh>
    <rPh sb="2" eb="4">
      <t>フクシ</t>
    </rPh>
    <rPh sb="4" eb="6">
      <t>イッパン</t>
    </rPh>
    <rPh sb="6" eb="8">
      <t>ジム</t>
    </rPh>
    <rPh sb="8" eb="10">
      <t>ケイヒ</t>
    </rPh>
    <phoneticPr fontId="2"/>
  </si>
  <si>
    <t>長寿祝金支給事業</t>
    <rPh sb="0" eb="2">
      <t>チョウジュ</t>
    </rPh>
    <rPh sb="2" eb="3">
      <t>イワ</t>
    </rPh>
    <rPh sb="3" eb="4">
      <t>キン</t>
    </rPh>
    <rPh sb="4" eb="6">
      <t>シキュウ</t>
    </rPh>
    <rPh sb="6" eb="8">
      <t>ジギョウ</t>
    </rPh>
    <phoneticPr fontId="2"/>
  </si>
  <si>
    <t>老人クラブ活動事業</t>
    <rPh sb="0" eb="2">
      <t>ロウジン</t>
    </rPh>
    <rPh sb="5" eb="7">
      <t>カツドウ</t>
    </rPh>
    <rPh sb="7" eb="9">
      <t>ジギョウ</t>
    </rPh>
    <phoneticPr fontId="2"/>
  </si>
  <si>
    <t>介護サービス利用者負担軽減事業</t>
    <rPh sb="0" eb="2">
      <t>カイゴ</t>
    </rPh>
    <rPh sb="6" eb="9">
      <t>リヨウシャ</t>
    </rPh>
    <rPh sb="9" eb="11">
      <t>フタン</t>
    </rPh>
    <rPh sb="11" eb="13">
      <t>ケイゲン</t>
    </rPh>
    <rPh sb="13" eb="15">
      <t>ジギョウ</t>
    </rPh>
    <phoneticPr fontId="2"/>
  </si>
  <si>
    <t>路線バス無料化事業</t>
    <rPh sb="0" eb="2">
      <t>ロセン</t>
    </rPh>
    <rPh sb="4" eb="7">
      <t>ムリョウカ</t>
    </rPh>
    <rPh sb="7" eb="9">
      <t>ジギョウ</t>
    </rPh>
    <phoneticPr fontId="2"/>
  </si>
  <si>
    <t>介護保険住宅改修拡大措置事業</t>
    <rPh sb="0" eb="2">
      <t>カイゴ</t>
    </rPh>
    <rPh sb="2" eb="4">
      <t>ホケン</t>
    </rPh>
    <rPh sb="4" eb="6">
      <t>ジュウタク</t>
    </rPh>
    <rPh sb="6" eb="8">
      <t>カイシュウ</t>
    </rPh>
    <rPh sb="8" eb="10">
      <t>カクダイ</t>
    </rPh>
    <rPh sb="10" eb="12">
      <t>ソチ</t>
    </rPh>
    <rPh sb="12" eb="14">
      <t>ジギョウ</t>
    </rPh>
    <phoneticPr fontId="2"/>
  </si>
  <si>
    <t>老人福祉施設入所措置事業</t>
    <rPh sb="0" eb="2">
      <t>ロウジン</t>
    </rPh>
    <rPh sb="2" eb="4">
      <t>フクシ</t>
    </rPh>
    <rPh sb="4" eb="6">
      <t>シセツ</t>
    </rPh>
    <rPh sb="6" eb="8">
      <t>ニュウショ</t>
    </rPh>
    <rPh sb="8" eb="10">
      <t>ソチ</t>
    </rPh>
    <rPh sb="10" eb="12">
      <t>ジギョウ</t>
    </rPh>
    <phoneticPr fontId="2"/>
  </si>
  <si>
    <t>児童手当事業</t>
    <rPh sb="0" eb="2">
      <t>ジドウ</t>
    </rPh>
    <rPh sb="2" eb="4">
      <t>テアテ</t>
    </rPh>
    <rPh sb="4" eb="6">
      <t>ジギョウ</t>
    </rPh>
    <phoneticPr fontId="2"/>
  </si>
  <si>
    <t>保育及び子育て環境整備事業</t>
    <rPh sb="0" eb="2">
      <t>ホイク</t>
    </rPh>
    <rPh sb="2" eb="3">
      <t>オヨ</t>
    </rPh>
    <rPh sb="4" eb="6">
      <t>コソダ</t>
    </rPh>
    <rPh sb="7" eb="9">
      <t>カンキョウ</t>
    </rPh>
    <rPh sb="9" eb="11">
      <t>セイビ</t>
    </rPh>
    <rPh sb="11" eb="13">
      <t>ジギョウ</t>
    </rPh>
    <phoneticPr fontId="2"/>
  </si>
  <si>
    <t>公用車運行管理経費</t>
    <rPh sb="0" eb="3">
      <t>コウヨウシャ</t>
    </rPh>
    <rPh sb="3" eb="5">
      <t>ウンコウ</t>
    </rPh>
    <rPh sb="5" eb="7">
      <t>カンリ</t>
    </rPh>
    <rPh sb="7" eb="9">
      <t>ケイヒ</t>
    </rPh>
    <phoneticPr fontId="2"/>
  </si>
  <si>
    <t>国民健康保険特別会計繰出金</t>
    <rPh sb="0" eb="2">
      <t>コクミン</t>
    </rPh>
    <rPh sb="2" eb="4">
      <t>ケンコウ</t>
    </rPh>
    <rPh sb="4" eb="6">
      <t>ホケン</t>
    </rPh>
    <rPh sb="6" eb="8">
      <t>トクベツ</t>
    </rPh>
    <rPh sb="8" eb="10">
      <t>カイケイ</t>
    </rPh>
    <rPh sb="10" eb="11">
      <t>ク</t>
    </rPh>
    <rPh sb="11" eb="12">
      <t>デ</t>
    </rPh>
    <rPh sb="12" eb="13">
      <t>キン</t>
    </rPh>
    <phoneticPr fontId="2"/>
  </si>
  <si>
    <t>介護保険特別会計繰出金</t>
    <rPh sb="0" eb="2">
      <t>カイゴ</t>
    </rPh>
    <rPh sb="2" eb="4">
      <t>ホケン</t>
    </rPh>
    <rPh sb="4" eb="6">
      <t>トクベツ</t>
    </rPh>
    <rPh sb="6" eb="8">
      <t>カイケイ</t>
    </rPh>
    <rPh sb="8" eb="9">
      <t>ク</t>
    </rPh>
    <rPh sb="9" eb="10">
      <t>デ</t>
    </rPh>
    <rPh sb="10" eb="11">
      <t>キン</t>
    </rPh>
    <phoneticPr fontId="2"/>
  </si>
  <si>
    <t>後期高齢者医療療養給付費負担金</t>
    <rPh sb="0" eb="2">
      <t>コウキ</t>
    </rPh>
    <rPh sb="2" eb="5">
      <t>コウレイシャ</t>
    </rPh>
    <rPh sb="5" eb="7">
      <t>イリョウ</t>
    </rPh>
    <rPh sb="7" eb="9">
      <t>リョウヨウ</t>
    </rPh>
    <rPh sb="9" eb="12">
      <t>キュウフヒ</t>
    </rPh>
    <rPh sb="12" eb="15">
      <t>フタンキン</t>
    </rPh>
    <phoneticPr fontId="2"/>
  </si>
  <si>
    <t>後期高齢者医療特別会計繰出金</t>
    <rPh sb="0" eb="2">
      <t>コウキ</t>
    </rPh>
    <rPh sb="2" eb="5">
      <t>コウレイシャ</t>
    </rPh>
    <rPh sb="5" eb="7">
      <t>イリョウ</t>
    </rPh>
    <rPh sb="7" eb="9">
      <t>トクベツ</t>
    </rPh>
    <rPh sb="9" eb="11">
      <t>カイケイ</t>
    </rPh>
    <rPh sb="11" eb="12">
      <t>ク</t>
    </rPh>
    <rPh sb="12" eb="13">
      <t>デ</t>
    </rPh>
    <rPh sb="13" eb="14">
      <t>キン</t>
    </rPh>
    <phoneticPr fontId="2"/>
  </si>
  <si>
    <t>事業名）後期高齢者医療特別会計繰出金</t>
    <phoneticPr fontId="2"/>
  </si>
  <si>
    <t>款）民生費　　項）心身障害者福祉費</t>
    <rPh sb="0" eb="1">
      <t>カン</t>
    </rPh>
    <rPh sb="2" eb="5">
      <t>ミンセイヒ</t>
    </rPh>
    <phoneticPr fontId="2"/>
  </si>
  <si>
    <t>款）民生費　　項）老人福祉費</t>
    <rPh sb="0" eb="1">
      <t>カン</t>
    </rPh>
    <rPh sb="2" eb="5">
      <t>ミンセイヒ</t>
    </rPh>
    <phoneticPr fontId="2"/>
  </si>
  <si>
    <t>款）民生費　　項）児童福祉費</t>
    <rPh sb="0" eb="1">
      <t>カン</t>
    </rPh>
    <rPh sb="2" eb="5">
      <t>ミンセイヒ</t>
    </rPh>
    <phoneticPr fontId="2"/>
  </si>
  <si>
    <t>対象（款項又は事業）</t>
    <rPh sb="0" eb="2">
      <t>タイショウ</t>
    </rPh>
    <rPh sb="3" eb="4">
      <t>カン</t>
    </rPh>
    <rPh sb="4" eb="5">
      <t>コウ</t>
    </rPh>
    <rPh sb="5" eb="6">
      <t>マタ</t>
    </rPh>
    <rPh sb="7" eb="9">
      <t>ジギョウ</t>
    </rPh>
    <phoneticPr fontId="2"/>
  </si>
  <si>
    <t>事業名）乳幼児医療費助成事業</t>
    <phoneticPr fontId="2"/>
  </si>
  <si>
    <t>事業名）未熟児養育医療費助成事業</t>
    <phoneticPr fontId="2"/>
  </si>
  <si>
    <t>事業名）各種予防接種事業経費</t>
    <phoneticPr fontId="2"/>
  </si>
  <si>
    <t>事業名）乳幼児・母子の保健事業経費</t>
    <phoneticPr fontId="2"/>
  </si>
  <si>
    <t>事業名）特定健康診査・特定保健指導事業経費</t>
    <phoneticPr fontId="2"/>
  </si>
  <si>
    <t>事業名）脳ドック検診事業経費</t>
    <phoneticPr fontId="2"/>
  </si>
  <si>
    <t>ひとり親家庭等医療費助成事業</t>
    <rPh sb="3" eb="4">
      <t>オヤ</t>
    </rPh>
    <rPh sb="4" eb="6">
      <t>カテイ</t>
    </rPh>
    <rPh sb="6" eb="7">
      <t>ナド</t>
    </rPh>
    <rPh sb="7" eb="10">
      <t>イリョウヒ</t>
    </rPh>
    <rPh sb="10" eb="12">
      <t>ジョセイ</t>
    </rPh>
    <rPh sb="12" eb="14">
      <t>ジギョウ</t>
    </rPh>
    <phoneticPr fontId="2"/>
  </si>
  <si>
    <t>乳幼児医療費助成事業</t>
    <rPh sb="0" eb="3">
      <t>ニュウヨウジ</t>
    </rPh>
    <rPh sb="3" eb="6">
      <t>イリョウヒ</t>
    </rPh>
    <rPh sb="6" eb="8">
      <t>ジョセイ</t>
    </rPh>
    <rPh sb="8" eb="10">
      <t>ジギョウ</t>
    </rPh>
    <phoneticPr fontId="2"/>
  </si>
  <si>
    <t>未熟児養育医療費助成事業</t>
    <rPh sb="0" eb="3">
      <t>ミジュクジ</t>
    </rPh>
    <rPh sb="3" eb="5">
      <t>ヨウイク</t>
    </rPh>
    <rPh sb="5" eb="8">
      <t>イリョウヒ</t>
    </rPh>
    <rPh sb="8" eb="10">
      <t>ジョセイ</t>
    </rPh>
    <rPh sb="10" eb="12">
      <t>ジギョウ</t>
    </rPh>
    <phoneticPr fontId="2"/>
  </si>
  <si>
    <t>予防事業一般事務経費</t>
    <rPh sb="0" eb="2">
      <t>ヨボウ</t>
    </rPh>
    <rPh sb="2" eb="4">
      <t>ジギョウ</t>
    </rPh>
    <rPh sb="4" eb="6">
      <t>イッパン</t>
    </rPh>
    <rPh sb="6" eb="8">
      <t>ジム</t>
    </rPh>
    <rPh sb="8" eb="10">
      <t>ケイヒ</t>
    </rPh>
    <phoneticPr fontId="2"/>
  </si>
  <si>
    <t>各種予防接種事業経費</t>
    <rPh sb="0" eb="2">
      <t>カクシュ</t>
    </rPh>
    <rPh sb="2" eb="4">
      <t>ヨボウ</t>
    </rPh>
    <rPh sb="4" eb="6">
      <t>セッシュ</t>
    </rPh>
    <rPh sb="6" eb="8">
      <t>ジギョウ</t>
    </rPh>
    <rPh sb="8" eb="10">
      <t>ケイヒ</t>
    </rPh>
    <phoneticPr fontId="2"/>
  </si>
  <si>
    <t>各種がん検診事業経費</t>
    <rPh sb="0" eb="2">
      <t>カクシュ</t>
    </rPh>
    <rPh sb="4" eb="6">
      <t>ケンシン</t>
    </rPh>
    <rPh sb="6" eb="8">
      <t>ジギョウ</t>
    </rPh>
    <rPh sb="8" eb="10">
      <t>ケイヒ</t>
    </rPh>
    <phoneticPr fontId="2"/>
  </si>
  <si>
    <t>乳幼児・母子の保健事業経費</t>
    <rPh sb="0" eb="3">
      <t>ニュウヨウジ</t>
    </rPh>
    <rPh sb="4" eb="6">
      <t>ボシ</t>
    </rPh>
    <rPh sb="7" eb="9">
      <t>ホケン</t>
    </rPh>
    <rPh sb="9" eb="11">
      <t>ジギョウ</t>
    </rPh>
    <rPh sb="11" eb="13">
      <t>ケイヒ</t>
    </rPh>
    <phoneticPr fontId="2"/>
  </si>
  <si>
    <t>特定健康診査・特定保健指導事業経費</t>
    <rPh sb="0" eb="2">
      <t>トクテイ</t>
    </rPh>
    <rPh sb="2" eb="4">
      <t>ケンコウ</t>
    </rPh>
    <rPh sb="4" eb="6">
      <t>シンサ</t>
    </rPh>
    <rPh sb="7" eb="9">
      <t>トクテイ</t>
    </rPh>
    <rPh sb="9" eb="11">
      <t>ホケン</t>
    </rPh>
    <rPh sb="11" eb="13">
      <t>シドウ</t>
    </rPh>
    <rPh sb="13" eb="15">
      <t>ジギョウ</t>
    </rPh>
    <rPh sb="15" eb="17">
      <t>ケイヒ</t>
    </rPh>
    <phoneticPr fontId="2"/>
  </si>
  <si>
    <t>脳ドック検診事業経費</t>
    <rPh sb="0" eb="1">
      <t>ノウ</t>
    </rPh>
    <rPh sb="4" eb="6">
      <t>ケンシン</t>
    </rPh>
    <rPh sb="6" eb="8">
      <t>ジギョウ</t>
    </rPh>
    <rPh sb="8" eb="10">
      <t>ケイヒ</t>
    </rPh>
    <phoneticPr fontId="2"/>
  </si>
  <si>
    <t>（単位：円）</t>
    <rPh sb="1" eb="3">
      <t>タンイ</t>
    </rPh>
    <rPh sb="4" eb="5">
      <t>エン</t>
    </rPh>
    <phoneticPr fontId="2"/>
  </si>
  <si>
    <t>平成28年度一般会計決算における地方消費税交付金（社会保障財源化分）が充てられる社会保障施策に要する経費</t>
    <rPh sb="0" eb="2">
      <t>ヘイセイ</t>
    </rPh>
    <rPh sb="4" eb="6">
      <t>ネンド</t>
    </rPh>
    <rPh sb="6" eb="8">
      <t>イッパン</t>
    </rPh>
    <rPh sb="8" eb="10">
      <t>カイケイ</t>
    </rPh>
    <rPh sb="10" eb="12">
      <t>ケッサン</t>
    </rPh>
    <rPh sb="16" eb="18">
      <t>チホウ</t>
    </rPh>
    <rPh sb="18" eb="21">
      <t>ショウヒゼイ</t>
    </rPh>
    <rPh sb="21" eb="24">
      <t>コウフキン</t>
    </rPh>
    <rPh sb="25" eb="27">
      <t>シャカイ</t>
    </rPh>
    <rPh sb="27" eb="29">
      <t>ホショウ</t>
    </rPh>
    <rPh sb="29" eb="31">
      <t>ザイゲン</t>
    </rPh>
    <rPh sb="31" eb="32">
      <t>カ</t>
    </rPh>
    <rPh sb="32" eb="33">
      <t>ブン</t>
    </rPh>
    <rPh sb="35" eb="36">
      <t>ア</t>
    </rPh>
    <rPh sb="40" eb="42">
      <t>シャカイ</t>
    </rPh>
    <rPh sb="42" eb="44">
      <t>ホショウ</t>
    </rPh>
    <rPh sb="44" eb="46">
      <t>シサク</t>
    </rPh>
    <rPh sb="47" eb="48">
      <t>ヨウ</t>
    </rPh>
    <rPh sb="50" eb="52">
      <t>ケイヒ</t>
    </rPh>
    <phoneticPr fontId="2"/>
  </si>
  <si>
    <t>社会保険</t>
    <phoneticPr fontId="2"/>
  </si>
  <si>
    <t>区分計</t>
    <rPh sb="0" eb="2">
      <t>クブン</t>
    </rPh>
    <rPh sb="2" eb="3">
      <t>ケイ</t>
    </rPh>
    <phoneticPr fontId="2"/>
  </si>
  <si>
    <t>事業計</t>
    <rPh sb="0" eb="2">
      <t>ジギョウ</t>
    </rPh>
    <rPh sb="2" eb="3">
      <t>ケイ</t>
    </rPh>
    <phoneticPr fontId="2"/>
  </si>
  <si>
    <t>総計</t>
    <rPh sb="0" eb="2">
      <t>ソウケイ</t>
    </rPh>
    <phoneticPr fontId="2"/>
  </si>
  <si>
    <t>平成29年度一般会計決算における地方消費税交付金（社会保障財源化分）が充てられる社会保障施策に要する経費</t>
    <rPh sb="0" eb="2">
      <t>ヘイセイ</t>
    </rPh>
    <rPh sb="4" eb="6">
      <t>ネンド</t>
    </rPh>
    <rPh sb="6" eb="8">
      <t>イッパン</t>
    </rPh>
    <rPh sb="8" eb="10">
      <t>カイケイ</t>
    </rPh>
    <rPh sb="10" eb="12">
      <t>ケッサン</t>
    </rPh>
    <rPh sb="16" eb="18">
      <t>チホウ</t>
    </rPh>
    <rPh sb="18" eb="21">
      <t>ショウヒゼイ</t>
    </rPh>
    <rPh sb="21" eb="24">
      <t>コウフキン</t>
    </rPh>
    <rPh sb="25" eb="27">
      <t>シャカイ</t>
    </rPh>
    <rPh sb="27" eb="29">
      <t>ホショウ</t>
    </rPh>
    <rPh sb="29" eb="31">
      <t>ザイゲン</t>
    </rPh>
    <rPh sb="31" eb="33">
      <t>カブン</t>
    </rPh>
    <rPh sb="35" eb="36">
      <t>ア</t>
    </rPh>
    <rPh sb="40" eb="42">
      <t>シャカイ</t>
    </rPh>
    <rPh sb="42" eb="44">
      <t>ホショウ</t>
    </rPh>
    <rPh sb="44" eb="46">
      <t>シサク</t>
    </rPh>
    <rPh sb="47" eb="48">
      <t>ヨウ</t>
    </rPh>
    <rPh sb="50" eb="52">
      <t>ケイヒ</t>
    </rPh>
    <phoneticPr fontId="2"/>
  </si>
  <si>
    <t>平成29年度
決算額</t>
    <rPh sb="0" eb="2">
      <t>ヘイセイ</t>
    </rPh>
    <rPh sb="4" eb="6">
      <t>ネンド</t>
    </rPh>
    <rPh sb="7" eb="9">
      <t>ケッサン</t>
    </rPh>
    <rPh sb="9" eb="10">
      <t>ガク</t>
    </rPh>
    <phoneticPr fontId="2"/>
  </si>
  <si>
    <t>平成29年度一般会計決算における地方消費税交付金（社会保障財源化分）が充てられる社会保障施策に要する経費</t>
    <rPh sb="0" eb="2">
      <t>ヘイセイ</t>
    </rPh>
    <rPh sb="4" eb="6">
      <t>ネンド</t>
    </rPh>
    <rPh sb="6" eb="8">
      <t>イッパン</t>
    </rPh>
    <rPh sb="8" eb="10">
      <t>カイケイ</t>
    </rPh>
    <rPh sb="10" eb="12">
      <t>ケッサン</t>
    </rPh>
    <rPh sb="16" eb="18">
      <t>チホウ</t>
    </rPh>
    <rPh sb="18" eb="21">
      <t>ショウヒゼイ</t>
    </rPh>
    <rPh sb="21" eb="24">
      <t>コウフキン</t>
    </rPh>
    <rPh sb="25" eb="27">
      <t>シャカイ</t>
    </rPh>
    <rPh sb="27" eb="29">
      <t>ホショウ</t>
    </rPh>
    <rPh sb="29" eb="31">
      <t>ザイゲン</t>
    </rPh>
    <rPh sb="31" eb="32">
      <t>カ</t>
    </rPh>
    <rPh sb="32" eb="33">
      <t>ブン</t>
    </rPh>
    <rPh sb="35" eb="36">
      <t>ア</t>
    </rPh>
    <rPh sb="40" eb="42">
      <t>シャカイ</t>
    </rPh>
    <rPh sb="42" eb="44">
      <t>ホショウ</t>
    </rPh>
    <rPh sb="44" eb="46">
      <t>シサク</t>
    </rPh>
    <rPh sb="47" eb="48">
      <t>ヨウ</t>
    </rPh>
    <rPh sb="50" eb="52">
      <t>ケイヒ</t>
    </rPh>
    <phoneticPr fontId="2"/>
  </si>
  <si>
    <t>平成30年度一般会計決算における地方消費税交付金（社会保障財源化分）が充てられる社会保障施策に要する経費</t>
    <rPh sb="0" eb="2">
      <t>ヘイセイ</t>
    </rPh>
    <rPh sb="4" eb="6">
      <t>ネンド</t>
    </rPh>
    <rPh sb="6" eb="8">
      <t>イッパン</t>
    </rPh>
    <rPh sb="8" eb="10">
      <t>カイケイ</t>
    </rPh>
    <rPh sb="10" eb="12">
      <t>ケッサン</t>
    </rPh>
    <rPh sb="16" eb="18">
      <t>チホウ</t>
    </rPh>
    <rPh sb="18" eb="21">
      <t>ショウヒゼイ</t>
    </rPh>
    <rPh sb="21" eb="24">
      <t>コウフキン</t>
    </rPh>
    <rPh sb="25" eb="27">
      <t>シャカイ</t>
    </rPh>
    <rPh sb="27" eb="29">
      <t>ホショウ</t>
    </rPh>
    <rPh sb="29" eb="31">
      <t>ザイゲン</t>
    </rPh>
    <rPh sb="31" eb="32">
      <t>カ</t>
    </rPh>
    <rPh sb="32" eb="33">
      <t>ブン</t>
    </rPh>
    <rPh sb="35" eb="36">
      <t>ア</t>
    </rPh>
    <rPh sb="40" eb="42">
      <t>シャカイ</t>
    </rPh>
    <rPh sb="42" eb="44">
      <t>ホショウ</t>
    </rPh>
    <rPh sb="44" eb="46">
      <t>シサク</t>
    </rPh>
    <rPh sb="47" eb="48">
      <t>ヨウ</t>
    </rPh>
    <rPh sb="50" eb="52">
      <t>ケイヒ</t>
    </rPh>
    <phoneticPr fontId="2"/>
  </si>
  <si>
    <t>平成30年度一般会計決算における地方消費税交付金（社会保障財源化分）が充てられる社会保障施策に要する経費</t>
    <rPh sb="0" eb="2">
      <t>ヘイセイ</t>
    </rPh>
    <rPh sb="4" eb="6">
      <t>ネンド</t>
    </rPh>
    <rPh sb="6" eb="8">
      <t>イッパン</t>
    </rPh>
    <rPh sb="8" eb="10">
      <t>カイケイ</t>
    </rPh>
    <rPh sb="10" eb="12">
      <t>ケッサン</t>
    </rPh>
    <rPh sb="16" eb="18">
      <t>チホウ</t>
    </rPh>
    <rPh sb="18" eb="21">
      <t>ショウヒゼイ</t>
    </rPh>
    <rPh sb="21" eb="24">
      <t>コウフキン</t>
    </rPh>
    <rPh sb="25" eb="27">
      <t>シャカイ</t>
    </rPh>
    <rPh sb="27" eb="29">
      <t>ホショウ</t>
    </rPh>
    <rPh sb="29" eb="31">
      <t>ザイゲン</t>
    </rPh>
    <rPh sb="31" eb="33">
      <t>カブン</t>
    </rPh>
    <rPh sb="35" eb="36">
      <t>ア</t>
    </rPh>
    <rPh sb="40" eb="42">
      <t>シャカイ</t>
    </rPh>
    <rPh sb="42" eb="44">
      <t>ホショウ</t>
    </rPh>
    <rPh sb="44" eb="46">
      <t>シサク</t>
    </rPh>
    <rPh sb="47" eb="48">
      <t>ヨウ</t>
    </rPh>
    <rPh sb="50" eb="52">
      <t>ケイヒ</t>
    </rPh>
    <phoneticPr fontId="2"/>
  </si>
  <si>
    <t>平成30年度
決算額</t>
    <rPh sb="0" eb="2">
      <t>ヘイセイ</t>
    </rPh>
    <rPh sb="4" eb="6">
      <t>ネンド</t>
    </rPh>
    <rPh sb="7" eb="9">
      <t>ケッサン</t>
    </rPh>
    <rPh sb="9" eb="10">
      <t>ガク</t>
    </rPh>
    <phoneticPr fontId="2"/>
  </si>
  <si>
    <t>令和元年度一般会計決算における地方消費税交付金（社会保障財源化分）が充てられる社会保障施策に要する経費</t>
    <rPh sb="0" eb="2">
      <t>レイワ</t>
    </rPh>
    <rPh sb="2" eb="3">
      <t>ガン</t>
    </rPh>
    <rPh sb="3" eb="5">
      <t>ネンド</t>
    </rPh>
    <rPh sb="5" eb="7">
      <t>イッパン</t>
    </rPh>
    <rPh sb="7" eb="9">
      <t>カイケイ</t>
    </rPh>
    <rPh sb="9" eb="11">
      <t>ケッサン</t>
    </rPh>
    <rPh sb="15" eb="17">
      <t>チホウ</t>
    </rPh>
    <rPh sb="17" eb="20">
      <t>ショウヒゼイ</t>
    </rPh>
    <rPh sb="20" eb="23">
      <t>コウフキン</t>
    </rPh>
    <rPh sb="24" eb="26">
      <t>シャカイ</t>
    </rPh>
    <rPh sb="26" eb="28">
      <t>ホショウ</t>
    </rPh>
    <rPh sb="28" eb="30">
      <t>ザイゲン</t>
    </rPh>
    <rPh sb="30" eb="32">
      <t>カブン</t>
    </rPh>
    <rPh sb="34" eb="35">
      <t>ア</t>
    </rPh>
    <rPh sb="39" eb="41">
      <t>シャカイ</t>
    </rPh>
    <rPh sb="41" eb="43">
      <t>ホショウ</t>
    </rPh>
    <rPh sb="43" eb="45">
      <t>シサク</t>
    </rPh>
    <rPh sb="46" eb="47">
      <t>ヨウ</t>
    </rPh>
    <rPh sb="49" eb="51">
      <t>ケイヒ</t>
    </rPh>
    <phoneticPr fontId="2"/>
  </si>
  <si>
    <t>令和元年度一般会計決算における地方消費税交付金（社会保障財源化分）が充てられる社会保障施策に要する経費</t>
    <rPh sb="0" eb="2">
      <t>レイワ</t>
    </rPh>
    <rPh sb="2" eb="4">
      <t>ガンネン</t>
    </rPh>
    <rPh sb="3" eb="5">
      <t>ネンド</t>
    </rPh>
    <rPh sb="5" eb="7">
      <t>イッパン</t>
    </rPh>
    <rPh sb="7" eb="9">
      <t>カイケイ</t>
    </rPh>
    <rPh sb="9" eb="11">
      <t>ケッサン</t>
    </rPh>
    <rPh sb="15" eb="17">
      <t>チホウ</t>
    </rPh>
    <rPh sb="17" eb="20">
      <t>ショウヒゼイ</t>
    </rPh>
    <rPh sb="20" eb="23">
      <t>コウフキン</t>
    </rPh>
    <rPh sb="24" eb="26">
      <t>シャカイ</t>
    </rPh>
    <rPh sb="26" eb="28">
      <t>ホショウ</t>
    </rPh>
    <rPh sb="28" eb="30">
      <t>ザイゲン</t>
    </rPh>
    <rPh sb="30" eb="31">
      <t>カ</t>
    </rPh>
    <rPh sb="31" eb="32">
      <t>ブン</t>
    </rPh>
    <rPh sb="34" eb="35">
      <t>ア</t>
    </rPh>
    <rPh sb="39" eb="41">
      <t>シャカイ</t>
    </rPh>
    <rPh sb="41" eb="43">
      <t>ホショウ</t>
    </rPh>
    <rPh sb="43" eb="45">
      <t>シサク</t>
    </rPh>
    <rPh sb="46" eb="47">
      <t>ヨウ</t>
    </rPh>
    <rPh sb="49" eb="51">
      <t>ケイヒ</t>
    </rPh>
    <phoneticPr fontId="2"/>
  </si>
  <si>
    <t>令和元年度
決算額</t>
    <rPh sb="0" eb="2">
      <t>レイワ</t>
    </rPh>
    <rPh sb="2" eb="4">
      <t>ガンネン</t>
    </rPh>
    <rPh sb="3" eb="5">
      <t>ネンド</t>
    </rPh>
    <rPh sb="6" eb="8">
      <t>ケッサン</t>
    </rPh>
    <rPh sb="8" eb="9">
      <t>ガク</t>
    </rPh>
    <phoneticPr fontId="2"/>
  </si>
  <si>
    <t>令和2年度一般会計決算における地方消費税交付金（社会保障財源化分）が充てられる社会保障施策に要する経費</t>
    <rPh sb="0" eb="2">
      <t>レイワ</t>
    </rPh>
    <rPh sb="3" eb="5">
      <t>ネンド</t>
    </rPh>
    <rPh sb="5" eb="7">
      <t>イッパン</t>
    </rPh>
    <rPh sb="7" eb="9">
      <t>カイケイ</t>
    </rPh>
    <rPh sb="9" eb="11">
      <t>ケッサン</t>
    </rPh>
    <rPh sb="15" eb="17">
      <t>チホウ</t>
    </rPh>
    <rPh sb="17" eb="20">
      <t>ショウヒゼイ</t>
    </rPh>
    <rPh sb="20" eb="23">
      <t>コウフキン</t>
    </rPh>
    <rPh sb="24" eb="26">
      <t>シャカイ</t>
    </rPh>
    <rPh sb="26" eb="28">
      <t>ホショウ</t>
    </rPh>
    <rPh sb="28" eb="30">
      <t>ザイゲン</t>
    </rPh>
    <rPh sb="30" eb="31">
      <t>カ</t>
    </rPh>
    <rPh sb="31" eb="32">
      <t>ブン</t>
    </rPh>
    <rPh sb="34" eb="35">
      <t>ア</t>
    </rPh>
    <rPh sb="39" eb="41">
      <t>シャカイ</t>
    </rPh>
    <rPh sb="41" eb="43">
      <t>ホショウ</t>
    </rPh>
    <rPh sb="43" eb="45">
      <t>シサク</t>
    </rPh>
    <rPh sb="46" eb="47">
      <t>ヨウ</t>
    </rPh>
    <rPh sb="49" eb="51">
      <t>ケイヒ</t>
    </rPh>
    <phoneticPr fontId="2"/>
  </si>
  <si>
    <t>令和2年度一般会計決算における地方消費税交付金（社会保障財源化分）が充てられる社会保障施策に要する経費</t>
    <rPh sb="0" eb="2">
      <t>レイワ</t>
    </rPh>
    <rPh sb="3" eb="5">
      <t>ネンド</t>
    </rPh>
    <rPh sb="5" eb="7">
      <t>イッパン</t>
    </rPh>
    <rPh sb="7" eb="9">
      <t>カイケイ</t>
    </rPh>
    <rPh sb="9" eb="11">
      <t>ケッサン</t>
    </rPh>
    <rPh sb="15" eb="17">
      <t>チホウ</t>
    </rPh>
    <rPh sb="17" eb="20">
      <t>ショウヒゼイ</t>
    </rPh>
    <rPh sb="20" eb="23">
      <t>コウフキン</t>
    </rPh>
    <rPh sb="24" eb="26">
      <t>シャカイ</t>
    </rPh>
    <rPh sb="26" eb="28">
      <t>ホショウ</t>
    </rPh>
    <rPh sb="28" eb="30">
      <t>ザイゲン</t>
    </rPh>
    <rPh sb="30" eb="32">
      <t>カブン</t>
    </rPh>
    <rPh sb="34" eb="35">
      <t>ア</t>
    </rPh>
    <rPh sb="39" eb="41">
      <t>シャカイ</t>
    </rPh>
    <rPh sb="41" eb="43">
      <t>ホショウ</t>
    </rPh>
    <rPh sb="43" eb="45">
      <t>シサク</t>
    </rPh>
    <rPh sb="46" eb="47">
      <t>ヨウ</t>
    </rPh>
    <rPh sb="49" eb="51">
      <t>ケイヒ</t>
    </rPh>
    <phoneticPr fontId="2"/>
  </si>
  <si>
    <t>令和2年度
決算額</t>
    <rPh sb="0" eb="2">
      <t>レイワ</t>
    </rPh>
    <rPh sb="3" eb="5">
      <t>ネンド</t>
    </rPh>
    <rPh sb="6" eb="8">
      <t>ケッサン</t>
    </rPh>
    <rPh sb="8" eb="9">
      <t>ガク</t>
    </rPh>
    <phoneticPr fontId="2"/>
  </si>
  <si>
    <t>小　　　計</t>
    <rPh sb="0" eb="1">
      <t>ショウ</t>
    </rPh>
    <rPh sb="4" eb="5">
      <t>ケイ</t>
    </rPh>
    <phoneticPr fontId="2"/>
  </si>
  <si>
    <t>合　　　　　計</t>
    <rPh sb="0" eb="1">
      <t>ゴウ</t>
    </rPh>
    <rPh sb="6" eb="7">
      <t>ケイ</t>
    </rPh>
    <phoneticPr fontId="2"/>
  </si>
  <si>
    <t>令和3年度一般会計決算における地方消費税交付金（社会保障財源化分）が充てられる社会保障施策に要する経費</t>
    <rPh sb="0" eb="2">
      <t>レイワ</t>
    </rPh>
    <rPh sb="3" eb="5">
      <t>ネンド</t>
    </rPh>
    <rPh sb="5" eb="7">
      <t>イッパン</t>
    </rPh>
    <rPh sb="7" eb="9">
      <t>カイケイ</t>
    </rPh>
    <rPh sb="9" eb="11">
      <t>ケッサン</t>
    </rPh>
    <rPh sb="15" eb="17">
      <t>チホウ</t>
    </rPh>
    <rPh sb="17" eb="20">
      <t>ショウヒゼイ</t>
    </rPh>
    <rPh sb="20" eb="23">
      <t>コウフキン</t>
    </rPh>
    <rPh sb="24" eb="26">
      <t>シャカイ</t>
    </rPh>
    <rPh sb="26" eb="28">
      <t>ホショウ</t>
    </rPh>
    <rPh sb="28" eb="30">
      <t>ザイゲン</t>
    </rPh>
    <rPh sb="30" eb="32">
      <t>カブン</t>
    </rPh>
    <rPh sb="34" eb="35">
      <t>ア</t>
    </rPh>
    <rPh sb="39" eb="41">
      <t>シャカイ</t>
    </rPh>
    <rPh sb="41" eb="43">
      <t>ホショウ</t>
    </rPh>
    <rPh sb="43" eb="45">
      <t>シサク</t>
    </rPh>
    <rPh sb="46" eb="47">
      <t>ヨウ</t>
    </rPh>
    <rPh sb="49" eb="51">
      <t>ケイヒ</t>
    </rPh>
    <phoneticPr fontId="2"/>
  </si>
  <si>
    <t>令和3年度一般会計決算における地方消費税交付金（社会保障財源化分）が充てられる社会保障施策に要する経費</t>
    <rPh sb="0" eb="2">
      <t>レイワ</t>
    </rPh>
    <rPh sb="3" eb="5">
      <t>ネンド</t>
    </rPh>
    <rPh sb="5" eb="7">
      <t>イッパン</t>
    </rPh>
    <rPh sb="7" eb="9">
      <t>カイケイ</t>
    </rPh>
    <rPh sb="9" eb="11">
      <t>ケッサン</t>
    </rPh>
    <rPh sb="15" eb="17">
      <t>チホウ</t>
    </rPh>
    <rPh sb="17" eb="20">
      <t>ショウヒゼイ</t>
    </rPh>
    <rPh sb="20" eb="23">
      <t>コウフキン</t>
    </rPh>
    <rPh sb="24" eb="26">
      <t>シャカイ</t>
    </rPh>
    <rPh sb="26" eb="28">
      <t>ホショウ</t>
    </rPh>
    <rPh sb="28" eb="30">
      <t>ザイゲン</t>
    </rPh>
    <rPh sb="30" eb="31">
      <t>カ</t>
    </rPh>
    <rPh sb="31" eb="32">
      <t>ブン</t>
    </rPh>
    <rPh sb="34" eb="35">
      <t>ア</t>
    </rPh>
    <rPh sb="39" eb="41">
      <t>シャカイ</t>
    </rPh>
    <rPh sb="41" eb="43">
      <t>ホショウ</t>
    </rPh>
    <rPh sb="43" eb="45">
      <t>シサク</t>
    </rPh>
    <rPh sb="46" eb="47">
      <t>ヨウ</t>
    </rPh>
    <rPh sb="49" eb="51">
      <t>ケイヒ</t>
    </rPh>
    <phoneticPr fontId="2"/>
  </si>
  <si>
    <t>子ども医療費助成事業</t>
    <rPh sb="0" eb="1">
      <t>コ</t>
    </rPh>
    <rPh sb="3" eb="6">
      <t>イリョウヒ</t>
    </rPh>
    <rPh sb="6" eb="8">
      <t>ジョセイ</t>
    </rPh>
    <rPh sb="8" eb="10">
      <t>ジギョウ</t>
    </rPh>
    <phoneticPr fontId="2"/>
  </si>
  <si>
    <t>事業名）子ども医療費助成事業</t>
    <rPh sb="4" eb="5">
      <t>コ</t>
    </rPh>
    <phoneticPr fontId="2"/>
  </si>
  <si>
    <t>令和3年度
決算額</t>
    <rPh sb="0" eb="2">
      <t>レイワ</t>
    </rPh>
    <rPh sb="3" eb="5">
      <t>ネンド</t>
    </rPh>
    <rPh sb="6" eb="8">
      <t>ケッサン</t>
    </rPh>
    <rPh sb="8" eb="9">
      <t>ガク</t>
    </rPh>
    <phoneticPr fontId="2"/>
  </si>
  <si>
    <t>子育て応援祝金事業</t>
    <rPh sb="0" eb="2">
      <t>コソダ</t>
    </rPh>
    <rPh sb="3" eb="5">
      <t>オウエン</t>
    </rPh>
    <rPh sb="5" eb="6">
      <t>イワ</t>
    </rPh>
    <rPh sb="6" eb="7">
      <t>キン</t>
    </rPh>
    <rPh sb="7" eb="9">
      <t>ジギョウ</t>
    </rPh>
    <phoneticPr fontId="2"/>
  </si>
  <si>
    <t>令和4年度一般会計決算における地方消費税交付金（社会保障財源化分）が充てられる社会保障施策に要する経費</t>
    <rPh sb="0" eb="2">
      <t>レイワ</t>
    </rPh>
    <rPh sb="3" eb="5">
      <t>ネンド</t>
    </rPh>
    <rPh sb="5" eb="7">
      <t>イッパン</t>
    </rPh>
    <rPh sb="7" eb="9">
      <t>カイケイ</t>
    </rPh>
    <rPh sb="9" eb="11">
      <t>ケッサン</t>
    </rPh>
    <rPh sb="15" eb="17">
      <t>チホウ</t>
    </rPh>
    <rPh sb="17" eb="20">
      <t>ショウヒゼイ</t>
    </rPh>
    <rPh sb="20" eb="23">
      <t>コウフキン</t>
    </rPh>
    <rPh sb="24" eb="26">
      <t>シャカイ</t>
    </rPh>
    <rPh sb="26" eb="28">
      <t>ホショウ</t>
    </rPh>
    <rPh sb="28" eb="30">
      <t>ザイゲン</t>
    </rPh>
    <rPh sb="30" eb="31">
      <t>カ</t>
    </rPh>
    <rPh sb="31" eb="32">
      <t>ブン</t>
    </rPh>
    <rPh sb="34" eb="35">
      <t>ア</t>
    </rPh>
    <rPh sb="39" eb="41">
      <t>シャカイ</t>
    </rPh>
    <rPh sb="41" eb="43">
      <t>ホショウ</t>
    </rPh>
    <rPh sb="43" eb="45">
      <t>シサク</t>
    </rPh>
    <rPh sb="46" eb="47">
      <t>ヨウ</t>
    </rPh>
    <rPh sb="49" eb="51">
      <t>ケイヒ</t>
    </rPh>
    <phoneticPr fontId="2"/>
  </si>
  <si>
    <t>令和4年度一般会計決算における地方消費税交付金（社会保障財源化分）が充てられる社会保障施策に要する経費</t>
    <rPh sb="0" eb="2">
      <t>レイワ</t>
    </rPh>
    <rPh sb="3" eb="5">
      <t>ネンド</t>
    </rPh>
    <rPh sb="5" eb="7">
      <t>イッパン</t>
    </rPh>
    <rPh sb="7" eb="9">
      <t>カイケイ</t>
    </rPh>
    <rPh sb="9" eb="11">
      <t>ケッサン</t>
    </rPh>
    <rPh sb="15" eb="17">
      <t>チホウ</t>
    </rPh>
    <rPh sb="17" eb="20">
      <t>ショウヒゼイ</t>
    </rPh>
    <rPh sb="20" eb="23">
      <t>コウフキン</t>
    </rPh>
    <rPh sb="24" eb="26">
      <t>シャカイ</t>
    </rPh>
    <rPh sb="26" eb="28">
      <t>ホショウ</t>
    </rPh>
    <rPh sb="28" eb="30">
      <t>ザイゲン</t>
    </rPh>
    <rPh sb="30" eb="32">
      <t>カブン</t>
    </rPh>
    <rPh sb="34" eb="35">
      <t>ア</t>
    </rPh>
    <rPh sb="39" eb="41">
      <t>シャカイ</t>
    </rPh>
    <rPh sb="41" eb="43">
      <t>ホショウ</t>
    </rPh>
    <rPh sb="43" eb="45">
      <t>シサク</t>
    </rPh>
    <rPh sb="46" eb="47">
      <t>ヨウ</t>
    </rPh>
    <rPh sb="49" eb="51">
      <t>ケイヒ</t>
    </rPh>
    <phoneticPr fontId="2"/>
  </si>
  <si>
    <t>令和4年度
決算額</t>
    <rPh sb="0" eb="2">
      <t>レイワ</t>
    </rPh>
    <rPh sb="3" eb="5">
      <t>ネンド</t>
    </rPh>
    <rPh sb="6" eb="8">
      <t>ケッサン</t>
    </rPh>
    <rPh sb="8" eb="9">
      <t>ガク</t>
    </rPh>
    <phoneticPr fontId="2"/>
  </si>
  <si>
    <t>出産・子育て応援給付金事業（新規）</t>
    <rPh sb="0" eb="2">
      <t>シュッサン</t>
    </rPh>
    <rPh sb="3" eb="5">
      <t>コソダ</t>
    </rPh>
    <rPh sb="6" eb="8">
      <t>オウエン</t>
    </rPh>
    <rPh sb="8" eb="11">
      <t>キュウフキン</t>
    </rPh>
    <rPh sb="11" eb="13">
      <t>ジギョウ</t>
    </rPh>
    <rPh sb="14" eb="16">
      <t>シンキ</t>
    </rPh>
    <phoneticPr fontId="2"/>
  </si>
  <si>
    <t>そうべつ児童クラブ運営事業（新規）</t>
    <rPh sb="4" eb="6">
      <t>ジドウ</t>
    </rPh>
    <rPh sb="9" eb="11">
      <t>ウンエイ</t>
    </rPh>
    <rPh sb="11" eb="13">
      <t>ジギョウ</t>
    </rPh>
    <rPh sb="14" eb="16">
      <t>シンキ</t>
    </rPh>
    <phoneticPr fontId="2"/>
  </si>
  <si>
    <t>令和5年度一般会計決算における地方消費税交付金（社会保障財源化分）が充てられる社会保障施策に要する経費</t>
    <rPh sb="0" eb="2">
      <t>レイワ</t>
    </rPh>
    <rPh sb="3" eb="5">
      <t>ネンド</t>
    </rPh>
    <rPh sb="5" eb="7">
      <t>イッパン</t>
    </rPh>
    <rPh sb="7" eb="9">
      <t>カイケイ</t>
    </rPh>
    <rPh sb="9" eb="11">
      <t>ケッサン</t>
    </rPh>
    <rPh sb="15" eb="17">
      <t>チホウ</t>
    </rPh>
    <rPh sb="17" eb="20">
      <t>ショウヒゼイ</t>
    </rPh>
    <rPh sb="20" eb="23">
      <t>コウフキン</t>
    </rPh>
    <rPh sb="24" eb="26">
      <t>シャカイ</t>
    </rPh>
    <rPh sb="26" eb="28">
      <t>ホショウ</t>
    </rPh>
    <rPh sb="28" eb="30">
      <t>ザイゲン</t>
    </rPh>
    <rPh sb="30" eb="32">
      <t>カブン</t>
    </rPh>
    <rPh sb="34" eb="35">
      <t>ア</t>
    </rPh>
    <rPh sb="39" eb="41">
      <t>シャカイ</t>
    </rPh>
    <rPh sb="41" eb="43">
      <t>ホショウ</t>
    </rPh>
    <rPh sb="43" eb="45">
      <t>シサク</t>
    </rPh>
    <rPh sb="46" eb="47">
      <t>ヨウ</t>
    </rPh>
    <rPh sb="49" eb="51">
      <t>ケイヒ</t>
    </rPh>
    <phoneticPr fontId="2"/>
  </si>
  <si>
    <t>令和5年度一般会計決算における地方消費税交付金（社会保障財源化分）が充てられる社会保障施策に要する経費</t>
    <rPh sb="0" eb="2">
      <t>レイワ</t>
    </rPh>
    <rPh sb="3" eb="5">
      <t>ネンド</t>
    </rPh>
    <rPh sb="5" eb="7">
      <t>イッパン</t>
    </rPh>
    <rPh sb="7" eb="9">
      <t>カイケイ</t>
    </rPh>
    <rPh sb="9" eb="11">
      <t>ケッサン</t>
    </rPh>
    <rPh sb="15" eb="17">
      <t>チホウ</t>
    </rPh>
    <rPh sb="17" eb="20">
      <t>ショウヒゼイ</t>
    </rPh>
    <rPh sb="20" eb="23">
      <t>コウフキン</t>
    </rPh>
    <rPh sb="24" eb="26">
      <t>シャカイ</t>
    </rPh>
    <rPh sb="26" eb="28">
      <t>ホショウ</t>
    </rPh>
    <rPh sb="28" eb="30">
      <t>ザイゲン</t>
    </rPh>
    <rPh sb="30" eb="31">
      <t>カ</t>
    </rPh>
    <rPh sb="31" eb="32">
      <t>ブン</t>
    </rPh>
    <rPh sb="34" eb="35">
      <t>ア</t>
    </rPh>
    <rPh sb="39" eb="41">
      <t>シャカイ</t>
    </rPh>
    <rPh sb="41" eb="43">
      <t>ホショウ</t>
    </rPh>
    <rPh sb="43" eb="45">
      <t>シサク</t>
    </rPh>
    <rPh sb="46" eb="47">
      <t>ヨウ</t>
    </rPh>
    <rPh sb="49" eb="51">
      <t>ケイヒ</t>
    </rPh>
    <phoneticPr fontId="2"/>
  </si>
  <si>
    <t>令和5年度
決算額</t>
    <rPh sb="0" eb="2">
      <t>レイワ</t>
    </rPh>
    <rPh sb="3" eb="5">
      <t>ネンド</t>
    </rPh>
    <rPh sb="6" eb="8">
      <t>ケッサン</t>
    </rPh>
    <rPh sb="8" eb="9">
      <t>ガク</t>
    </rPh>
    <phoneticPr fontId="2"/>
  </si>
  <si>
    <t>出産・子育て応援給付金事業</t>
    <rPh sb="0" eb="2">
      <t>シュッサン</t>
    </rPh>
    <rPh sb="3" eb="5">
      <t>コソダ</t>
    </rPh>
    <rPh sb="6" eb="8">
      <t>オウエン</t>
    </rPh>
    <rPh sb="8" eb="11">
      <t>キュウフキン</t>
    </rPh>
    <rPh sb="11" eb="13">
      <t>ジギョウ</t>
    </rPh>
    <phoneticPr fontId="2"/>
  </si>
  <si>
    <t>そうべつ児童クラブ運営事業</t>
    <rPh sb="4" eb="6">
      <t>ジドウ</t>
    </rPh>
    <rPh sb="9" eb="11">
      <t>ウンエイ</t>
    </rPh>
    <rPh sb="11" eb="13">
      <t>ジギョウ</t>
    </rPh>
    <phoneticPr fontId="2"/>
  </si>
  <si>
    <t>結婚新生活支援事業（新規）</t>
    <rPh sb="0" eb="2">
      <t>ケッコン</t>
    </rPh>
    <rPh sb="2" eb="5">
      <t>シンセイカツ</t>
    </rPh>
    <rPh sb="5" eb="7">
      <t>シエン</t>
    </rPh>
    <rPh sb="7" eb="9">
      <t>ジギョウ</t>
    </rPh>
    <rPh sb="10" eb="12">
      <t>シンキ</t>
    </rPh>
    <phoneticPr fontId="2"/>
  </si>
  <si>
    <t>保育ＩＣＴシステム導入事業（新規）</t>
    <rPh sb="0" eb="2">
      <t>ホイク</t>
    </rPh>
    <rPh sb="9" eb="11">
      <t>ドウニュウ</t>
    </rPh>
    <rPh sb="11" eb="13">
      <t>ジギョウ</t>
    </rPh>
    <rPh sb="14" eb="16">
      <t>シンキ</t>
    </rPh>
    <phoneticPr fontId="2"/>
  </si>
  <si>
    <t>令和6年度一般会計決算における地方消費税交付金（社会保障財源化分）が充てられる社会保障施策に要する経費</t>
    <rPh sb="0" eb="2">
      <t>レイワ</t>
    </rPh>
    <rPh sb="3" eb="5">
      <t>ネンド</t>
    </rPh>
    <rPh sb="5" eb="7">
      <t>イッパン</t>
    </rPh>
    <rPh sb="7" eb="9">
      <t>カイケイ</t>
    </rPh>
    <rPh sb="9" eb="11">
      <t>ケッサン</t>
    </rPh>
    <rPh sb="15" eb="17">
      <t>チホウ</t>
    </rPh>
    <rPh sb="17" eb="20">
      <t>ショウヒゼイ</t>
    </rPh>
    <rPh sb="20" eb="23">
      <t>コウフキン</t>
    </rPh>
    <rPh sb="24" eb="26">
      <t>シャカイ</t>
    </rPh>
    <rPh sb="26" eb="28">
      <t>ホショウ</t>
    </rPh>
    <rPh sb="28" eb="30">
      <t>ザイゲン</t>
    </rPh>
    <rPh sb="30" eb="32">
      <t>カブン</t>
    </rPh>
    <rPh sb="34" eb="35">
      <t>ア</t>
    </rPh>
    <rPh sb="39" eb="41">
      <t>シャカイ</t>
    </rPh>
    <rPh sb="41" eb="43">
      <t>ホショウ</t>
    </rPh>
    <rPh sb="43" eb="45">
      <t>シサク</t>
    </rPh>
    <rPh sb="46" eb="47">
      <t>ヨウ</t>
    </rPh>
    <rPh sb="49" eb="51">
      <t>ケイヒ</t>
    </rPh>
    <phoneticPr fontId="2"/>
  </si>
  <si>
    <t>令和6年度一般会計決算における地方消費税交付金（社会保障財源化分）が充てられる社会保障施策に要する経費</t>
    <rPh sb="0" eb="2">
      <t>レイワ</t>
    </rPh>
    <rPh sb="3" eb="5">
      <t>ネンド</t>
    </rPh>
    <rPh sb="5" eb="7">
      <t>イッパン</t>
    </rPh>
    <rPh sb="7" eb="9">
      <t>カイケイ</t>
    </rPh>
    <rPh sb="9" eb="11">
      <t>ケッサン</t>
    </rPh>
    <rPh sb="15" eb="17">
      <t>チホウ</t>
    </rPh>
    <rPh sb="17" eb="20">
      <t>ショウヒゼイ</t>
    </rPh>
    <rPh sb="20" eb="23">
      <t>コウフキン</t>
    </rPh>
    <rPh sb="24" eb="26">
      <t>シャカイ</t>
    </rPh>
    <rPh sb="26" eb="28">
      <t>ホショウ</t>
    </rPh>
    <rPh sb="28" eb="30">
      <t>ザイゲン</t>
    </rPh>
    <rPh sb="30" eb="31">
      <t>カ</t>
    </rPh>
    <rPh sb="31" eb="32">
      <t>ブン</t>
    </rPh>
    <rPh sb="34" eb="35">
      <t>ア</t>
    </rPh>
    <rPh sb="39" eb="41">
      <t>シャカイ</t>
    </rPh>
    <rPh sb="41" eb="43">
      <t>ホショウ</t>
    </rPh>
    <rPh sb="43" eb="45">
      <t>シサク</t>
    </rPh>
    <rPh sb="46" eb="47">
      <t>ヨウ</t>
    </rPh>
    <rPh sb="49" eb="51">
      <t>ケイヒ</t>
    </rPh>
    <phoneticPr fontId="2"/>
  </si>
  <si>
    <t>結婚新生活支援事業</t>
    <rPh sb="0" eb="2">
      <t>ケッコン</t>
    </rPh>
    <rPh sb="2" eb="5">
      <t>シンセイカツ</t>
    </rPh>
    <rPh sb="5" eb="7">
      <t>シエン</t>
    </rPh>
    <rPh sb="7" eb="9">
      <t>ジギョウ</t>
    </rPh>
    <phoneticPr fontId="2"/>
  </si>
  <si>
    <t>保育ＩＣＴシステム導入事業</t>
    <rPh sb="0" eb="2">
      <t>ホイク</t>
    </rPh>
    <rPh sb="9" eb="11">
      <t>ドウニュウ</t>
    </rPh>
    <rPh sb="11" eb="13">
      <t>ジギョウ</t>
    </rPh>
    <phoneticPr fontId="2"/>
  </si>
  <si>
    <t>令和6年度
決算額</t>
    <rPh sb="0" eb="2">
      <t>レイワ</t>
    </rPh>
    <rPh sb="3" eb="5">
      <t>ネンド</t>
    </rPh>
    <rPh sb="6" eb="8">
      <t>ケッサン</t>
    </rPh>
    <rPh sb="8" eb="9">
      <t>ガク</t>
    </rPh>
    <phoneticPr fontId="2"/>
  </si>
  <si>
    <t>←歳出決算額</t>
    <rPh sb="1" eb="3">
      <t>サイシュツ</t>
    </rPh>
    <rPh sb="3" eb="6">
      <t>ケッサンガク</t>
    </rPh>
    <phoneticPr fontId="2"/>
  </si>
  <si>
    <t>年度</t>
    <rPh sb="0" eb="2">
      <t>ネンド</t>
    </rPh>
    <phoneticPr fontId="2"/>
  </si>
  <si>
    <t>令和１年度</t>
    <rPh sb="0" eb="2">
      <t>レイワ</t>
    </rPh>
    <rPh sb="3" eb="5">
      <t>ネンド</t>
    </rPh>
    <phoneticPr fontId="2"/>
  </si>
  <si>
    <t>令和２年度</t>
    <rPh sb="0" eb="2">
      <t>レイワ</t>
    </rPh>
    <rPh sb="3" eb="5">
      <t>ネンド</t>
    </rPh>
    <phoneticPr fontId="2"/>
  </si>
  <si>
    <t>令和３年度</t>
    <rPh sb="0" eb="2">
      <t>レイワ</t>
    </rPh>
    <rPh sb="3" eb="5">
      <t>ネンド</t>
    </rPh>
    <phoneticPr fontId="2"/>
  </si>
  <si>
    <t>令和４年度</t>
    <rPh sb="0" eb="2">
      <t>レイワ</t>
    </rPh>
    <rPh sb="3" eb="5">
      <t>ネンド</t>
    </rPh>
    <phoneticPr fontId="2"/>
  </si>
  <si>
    <t>令和５年度</t>
    <rPh sb="0" eb="2">
      <t>レイワ</t>
    </rPh>
    <rPh sb="3" eb="5">
      <t>ネンド</t>
    </rPh>
    <phoneticPr fontId="2"/>
  </si>
  <si>
    <t>令和６年度</t>
    <rPh sb="0" eb="2">
      <t>レイワ</t>
    </rPh>
    <rPh sb="3" eb="5">
      <t>ネンド</t>
    </rPh>
    <phoneticPr fontId="2"/>
  </si>
  <si>
    <t>令和７年度</t>
    <rPh sb="0" eb="2">
      <t>レイワ</t>
    </rPh>
    <rPh sb="3" eb="5">
      <t>ネンド</t>
    </rPh>
    <phoneticPr fontId="2"/>
  </si>
  <si>
    <t>令和８年度</t>
    <rPh sb="0" eb="2">
      <t>レイワ</t>
    </rPh>
    <rPh sb="3" eb="5">
      <t>ネンド</t>
    </rPh>
    <phoneticPr fontId="2"/>
  </si>
  <si>
    <t>令和９年度</t>
    <rPh sb="0" eb="2">
      <t>レイワ</t>
    </rPh>
    <rPh sb="3" eb="5">
      <t>ネンド</t>
    </rPh>
    <phoneticPr fontId="2"/>
  </si>
  <si>
    <t>令和10年度</t>
    <rPh sb="0" eb="2">
      <t>レイワ</t>
    </rPh>
    <rPh sb="4" eb="6">
      <t>ネンド</t>
    </rPh>
    <phoneticPr fontId="2"/>
  </si>
  <si>
    <t>令和11年度</t>
    <rPh sb="0" eb="2">
      <t>レイワ</t>
    </rPh>
    <rPh sb="4" eb="6">
      <t>ネンド</t>
    </rPh>
    <phoneticPr fontId="2"/>
  </si>
  <si>
    <t>令和12年度</t>
    <rPh sb="0" eb="2">
      <t>レイワ</t>
    </rPh>
    <rPh sb="4" eb="6">
      <t>ネンド</t>
    </rPh>
    <phoneticPr fontId="2"/>
  </si>
  <si>
    <t>令和13年度</t>
    <rPh sb="0" eb="2">
      <t>レイワ</t>
    </rPh>
    <rPh sb="4" eb="6">
      <t>ネンド</t>
    </rPh>
    <phoneticPr fontId="2"/>
  </si>
  <si>
    <t>令和14年度</t>
    <rPh sb="0" eb="2">
      <t>レイワ</t>
    </rPh>
    <rPh sb="4" eb="6">
      <t>ネンド</t>
    </rPh>
    <phoneticPr fontId="2"/>
  </si>
  <si>
    <t>令和15年度</t>
    <rPh sb="0" eb="2">
      <t>レイワ</t>
    </rPh>
    <rPh sb="4" eb="6">
      <t>ネンド</t>
    </rPh>
    <phoneticPr fontId="2"/>
  </si>
  <si>
    <t>令和16年度</t>
    <rPh sb="0" eb="2">
      <t>レイワ</t>
    </rPh>
    <rPh sb="4" eb="6">
      <t>ネンド</t>
    </rPh>
    <phoneticPr fontId="2"/>
  </si>
  <si>
    <t>令和17年度</t>
    <rPh sb="0" eb="2">
      <t>レイワ</t>
    </rPh>
    <rPh sb="4" eb="6">
      <t>ネンド</t>
    </rPh>
    <phoneticPr fontId="2"/>
  </si>
  <si>
    <t>令和18年度</t>
    <rPh sb="0" eb="2">
      <t>レイワ</t>
    </rPh>
    <rPh sb="4" eb="6">
      <t>ネンド</t>
    </rPh>
    <phoneticPr fontId="2"/>
  </si>
  <si>
    <t>令和19年度</t>
    <rPh sb="0" eb="2">
      <t>レイワ</t>
    </rPh>
    <rPh sb="4" eb="6">
      <t>ネンド</t>
    </rPh>
    <phoneticPr fontId="2"/>
  </si>
  <si>
    <t>令和20年度</t>
    <rPh sb="0" eb="2">
      <t>レイワ</t>
    </rPh>
    <rPh sb="4" eb="6">
      <t>ネンド</t>
    </rPh>
    <phoneticPr fontId="2"/>
  </si>
  <si>
    <t>令和21年度</t>
    <rPh sb="0" eb="2">
      <t>レイワ</t>
    </rPh>
    <rPh sb="4" eb="6">
      <t>ネンド</t>
    </rPh>
    <phoneticPr fontId="2"/>
  </si>
  <si>
    <t>令和22年度</t>
    <rPh sb="0" eb="2">
      <t>レイワ</t>
    </rPh>
    <rPh sb="4" eb="6">
      <t>ネンド</t>
    </rPh>
    <phoneticPr fontId="2"/>
  </si>
  <si>
    <t>令和23年度</t>
    <rPh sb="0" eb="2">
      <t>レイワ</t>
    </rPh>
    <rPh sb="4" eb="6">
      <t>ネンド</t>
    </rPh>
    <phoneticPr fontId="2"/>
  </si>
  <si>
    <t>令和24年度</t>
    <rPh sb="0" eb="2">
      <t>レイワ</t>
    </rPh>
    <rPh sb="4" eb="6">
      <t>ネンド</t>
    </rPh>
    <phoneticPr fontId="2"/>
  </si>
  <si>
    <t>令和25年度</t>
    <rPh sb="0" eb="2">
      <t>レイワ</t>
    </rPh>
    <rPh sb="4" eb="6">
      <t>ネンド</t>
    </rPh>
    <phoneticPr fontId="2"/>
  </si>
  <si>
    <t>令和26年度</t>
    <rPh sb="0" eb="2">
      <t>レイワ</t>
    </rPh>
    <rPh sb="4" eb="6">
      <t>ネンド</t>
    </rPh>
    <phoneticPr fontId="2"/>
  </si>
  <si>
    <t>令和27年度</t>
    <rPh sb="0" eb="2">
      <t>レイワ</t>
    </rPh>
    <rPh sb="4" eb="6">
      <t>ネンド</t>
    </rPh>
    <phoneticPr fontId="2"/>
  </si>
  <si>
    <t>令和28年度</t>
    <rPh sb="0" eb="2">
      <t>レイワ</t>
    </rPh>
    <rPh sb="4" eb="6">
      <t>ネンド</t>
    </rPh>
    <phoneticPr fontId="2"/>
  </si>
  <si>
    <t>令和29年度</t>
    <rPh sb="0" eb="2">
      <t>レイワ</t>
    </rPh>
    <rPh sb="4" eb="6">
      <t>ネンド</t>
    </rPh>
    <phoneticPr fontId="2"/>
  </si>
  <si>
    <t>令和30年度</t>
    <rPh sb="0" eb="2">
      <t>レイワ</t>
    </rPh>
    <rPh sb="4" eb="6">
      <t>ネンド</t>
    </rPh>
    <phoneticPr fontId="2"/>
  </si>
  <si>
    <t>令和31年度</t>
    <rPh sb="0" eb="2">
      <t>レイワ</t>
    </rPh>
    <rPh sb="4" eb="6">
      <t>ネンド</t>
    </rPh>
    <phoneticPr fontId="2"/>
  </si>
  <si>
    <t>令和32年度</t>
    <rPh sb="0" eb="2">
      <t>レイワ</t>
    </rPh>
    <rPh sb="4" eb="6">
      <t>ネンド</t>
    </rPh>
    <phoneticPr fontId="2"/>
  </si>
  <si>
    <t>令和33年度</t>
    <rPh sb="0" eb="2">
      <t>レイワ</t>
    </rPh>
    <rPh sb="4" eb="6">
      <t>ネンド</t>
    </rPh>
    <phoneticPr fontId="2"/>
  </si>
  <si>
    <t>令和34年度</t>
    <rPh sb="0" eb="2">
      <t>レイワ</t>
    </rPh>
    <rPh sb="4" eb="6">
      <t>ネンド</t>
    </rPh>
    <phoneticPr fontId="2"/>
  </si>
  <si>
    <t>令和35年度</t>
    <rPh sb="0" eb="2">
      <t>レイワ</t>
    </rPh>
    <rPh sb="4" eb="6">
      <t>ネンド</t>
    </rPh>
    <phoneticPr fontId="2"/>
  </si>
  <si>
    <t>令和36年度</t>
    <rPh sb="0" eb="2">
      <t>レイワ</t>
    </rPh>
    <rPh sb="4" eb="6">
      <t>ネンド</t>
    </rPh>
    <phoneticPr fontId="2"/>
  </si>
  <si>
    <t>令和37年度</t>
    <rPh sb="0" eb="2">
      <t>レイワ</t>
    </rPh>
    <rPh sb="4" eb="6">
      <t>ネンド</t>
    </rPh>
    <phoneticPr fontId="2"/>
  </si>
  <si>
    <t>令和38年度</t>
    <rPh sb="0" eb="2">
      <t>レイワ</t>
    </rPh>
    <rPh sb="4" eb="6">
      <t>ネンド</t>
    </rPh>
    <phoneticPr fontId="2"/>
  </si>
  <si>
    <t>令和39年度</t>
    <rPh sb="0" eb="2">
      <t>レイワ</t>
    </rPh>
    <rPh sb="4" eb="6">
      <t>ネンド</t>
    </rPh>
    <phoneticPr fontId="2"/>
  </si>
  <si>
    <t>令和40年度</t>
    <rPh sb="0" eb="2">
      <t>レイワ</t>
    </rPh>
    <rPh sb="4" eb="6">
      <t>ネンド</t>
    </rPh>
    <phoneticPr fontId="2"/>
  </si>
  <si>
    <t>令和41年度</t>
    <rPh sb="0" eb="2">
      <t>レイワ</t>
    </rPh>
    <rPh sb="4" eb="6">
      <t>ネンド</t>
    </rPh>
    <phoneticPr fontId="2"/>
  </si>
  <si>
    <t>令和42年度</t>
    <rPh sb="0" eb="2">
      <t>レイワ</t>
    </rPh>
    <rPh sb="4" eb="6">
      <t>ネンド</t>
    </rPh>
    <phoneticPr fontId="2"/>
  </si>
  <si>
    <t>令和43年度</t>
    <rPh sb="0" eb="2">
      <t>レイワ</t>
    </rPh>
    <rPh sb="4" eb="6">
      <t>ネンド</t>
    </rPh>
    <phoneticPr fontId="2"/>
  </si>
  <si>
    <t>令和44年度</t>
    <rPh sb="0" eb="2">
      <t>レイワ</t>
    </rPh>
    <rPh sb="4" eb="6">
      <t>ネンド</t>
    </rPh>
    <phoneticPr fontId="2"/>
  </si>
  <si>
    <t>令和45年度</t>
    <rPh sb="0" eb="2">
      <t>レイワ</t>
    </rPh>
    <rPh sb="4" eb="6">
      <t>ネンド</t>
    </rPh>
    <phoneticPr fontId="2"/>
  </si>
  <si>
    <t>令和46年度</t>
    <rPh sb="0" eb="2">
      <t>レイワ</t>
    </rPh>
    <rPh sb="4" eb="6">
      <t>ネンド</t>
    </rPh>
    <phoneticPr fontId="2"/>
  </si>
  <si>
    <t>令和47年度</t>
    <rPh sb="0" eb="2">
      <t>レイワ</t>
    </rPh>
    <rPh sb="4" eb="6">
      <t>ネンド</t>
    </rPh>
    <phoneticPr fontId="2"/>
  </si>
  <si>
    <t>令和48年度</t>
    <rPh sb="0" eb="2">
      <t>レイワ</t>
    </rPh>
    <rPh sb="4" eb="6">
      <t>ネンド</t>
    </rPh>
    <phoneticPr fontId="2"/>
  </si>
  <si>
    <t>令和49年度</t>
    <rPh sb="0" eb="2">
      <t>レイワ</t>
    </rPh>
    <rPh sb="4" eb="6">
      <t>ネンド</t>
    </rPh>
    <phoneticPr fontId="2"/>
  </si>
  <si>
    <t>令和50年度</t>
    <rPh sb="0" eb="2">
      <t>レイワ</t>
    </rPh>
    <rPh sb="4" eb="6">
      <t>ネンド</t>
    </rPh>
    <phoneticPr fontId="2"/>
  </si>
  <si>
    <t>年度２</t>
    <rPh sb="0" eb="2">
      <t>ネンド</t>
    </rPh>
    <phoneticPr fontId="2"/>
  </si>
  <si>
    <t>R01</t>
    <phoneticPr fontId="2"/>
  </si>
  <si>
    <t>R02</t>
  </si>
  <si>
    <t>R03</t>
  </si>
  <si>
    <t>R04</t>
  </si>
  <si>
    <t>R05</t>
  </si>
  <si>
    <t>R06</t>
  </si>
  <si>
    <t>R07</t>
  </si>
  <si>
    <t>R08</t>
  </si>
  <si>
    <t>R09</t>
  </si>
  <si>
    <t>R10</t>
  </si>
  <si>
    <t>R11</t>
  </si>
  <si>
    <t>R12</t>
  </si>
  <si>
    <t>R13</t>
  </si>
  <si>
    <t>R14</t>
  </si>
  <si>
    <t>R15</t>
  </si>
  <si>
    <t>R16</t>
  </si>
  <si>
    <t>R17</t>
  </si>
  <si>
    <t>R18</t>
  </si>
  <si>
    <t>R19</t>
  </si>
  <si>
    <t>R20</t>
  </si>
  <si>
    <t>R21</t>
  </si>
  <si>
    <t>R22</t>
  </si>
  <si>
    <t>R23</t>
  </si>
  <si>
    <t>R24</t>
  </si>
  <si>
    <t>R25</t>
  </si>
  <si>
    <t>R26</t>
  </si>
  <si>
    <t>R27</t>
  </si>
  <si>
    <t>R28</t>
  </si>
  <si>
    <t>R29</t>
  </si>
  <si>
    <t>R30</t>
  </si>
  <si>
    <t>R31</t>
  </si>
  <si>
    <t>R32</t>
  </si>
  <si>
    <t>R33</t>
  </si>
  <si>
    <t>R34</t>
  </si>
  <si>
    <t>R35</t>
  </si>
  <si>
    <t>R36</t>
  </si>
  <si>
    <t>R37</t>
  </si>
  <si>
    <t>R38</t>
  </si>
  <si>
    <t>R39</t>
  </si>
  <si>
    <t>R40</t>
  </si>
  <si>
    <t>R41</t>
  </si>
  <si>
    <t>R42</t>
  </si>
  <si>
    <t>R43</t>
  </si>
  <si>
    <t>R44</t>
  </si>
  <si>
    <t>R45</t>
  </si>
  <si>
    <t>R46</t>
  </si>
  <si>
    <t>R47</t>
  </si>
  <si>
    <t>R48</t>
  </si>
  <si>
    <t>R49</t>
  </si>
  <si>
    <t>R50</t>
  </si>
  <si>
    <t>決算額</t>
    <rPh sb="0" eb="2">
      <t>ケッサン</t>
    </rPh>
    <rPh sb="2" eb="3">
      <t>ガク</t>
    </rPh>
    <phoneticPr fontId="2"/>
  </si>
  <si>
    <t>－</t>
    <phoneticPr fontId="2"/>
  </si>
  <si>
    <t>:</t>
    <phoneticPr fontId="2"/>
  </si>
  <si>
    <t>列</t>
    <rPh sb="0" eb="1">
      <t>レツ</t>
    </rPh>
    <phoneticPr fontId="4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</si>
</sst>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#&quot;千&quot;&quot;円&quot;"/>
    <numFmt numFmtId="177" formatCode="#,##0_ "/>
    <numFmt numFmtId="178" formatCode="#,##0.000000;&quot;▲ &quot;#,##0.000000"/>
  </numFmts>
  <fonts count="5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1"/>
      <name val="ＭＳ Ｐ明朝"/>
      <family val="1"/>
      <charset val="128"/>
    </font>
    <font>
      <sz val="11"/>
      <name val="ＤＦ平成ゴシック体W5"/>
      <family val="3"/>
      <charset val="128"/>
    </font>
    <font>
      <sz val="9"/>
      <name val="ＤＦ平成ゴシック体W5"/>
      <family val="3"/>
      <charset val="128"/>
    </font>
    <font>
      <b/>
      <sz val="11"/>
      <color theme="1"/>
      <name val="ＭＳ ゴシック"/>
      <family val="3"/>
      <charset val="128"/>
    </font>
    <font>
      <b/>
      <sz val="16"/>
      <color indexed="81"/>
      <name val="ＭＳ Ｐ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4"/>
      <color indexed="10"/>
      <name val="MS P ゴシック"/>
      <family val="3"/>
      <charset val="128"/>
    </font>
    <font>
      <sz val="11"/>
      <name val="ＭＳ ゴシック"/>
      <family val="3"/>
      <charset val="128"/>
    </font>
    <font>
      <sz val="18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  <font>
      <b/>
      <sz val="16"/>
      <color indexed="81"/>
      <name val="MS P ゴシック"/>
      <family val="3"/>
      <charset val="128"/>
    </font>
    <font>
      <b/>
      <sz val="18"/>
      <color indexed="81"/>
      <name val="MS P ゴシック"/>
      <family val="3"/>
      <charset val="128"/>
    </font>
    <font>
      <b/>
      <sz val="12"/>
      <color indexed="81"/>
      <name val="MS P 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0.5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2"/>
      <color theme="1"/>
      <name val="ＭＳ Ｐゴシック"/>
      <family val="3"/>
      <charset val="128"/>
    </font>
    <font>
      <b/>
      <sz val="10.5"/>
      <color rgb="FF0000CC"/>
      <name val="HG丸ｺﾞｼｯｸM-PRO"/>
      <family val="3"/>
      <charset val="128"/>
    </font>
    <font>
      <sz val="10.5"/>
      <color rgb="FF0000CC"/>
      <name val="HG丸ｺﾞｼｯｸM-PRO"/>
      <family val="3"/>
      <charset val="128"/>
    </font>
    <font>
      <sz val="10.5"/>
      <color rgb="FFC00000"/>
      <name val="HG丸ｺﾞｼｯｸM-PRO"/>
      <family val="3"/>
      <charset val="128"/>
    </font>
    <font>
      <sz val="10"/>
      <color theme="1"/>
      <name val="Meiryo UI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FF0000"/>
      <name val="Meiryo UI"/>
      <family val="3"/>
      <charset val="128"/>
    </font>
    <font>
      <sz val="11"/>
      <color theme="1"/>
      <name val="AR P丸ゴシック体E"/>
      <family val="3"/>
      <charset val="128"/>
    </font>
    <font>
      <sz val="12"/>
      <color theme="1"/>
      <name val="AR P丸ゴシック体E"/>
      <family val="3"/>
      <charset val="128"/>
    </font>
    <font>
      <sz val="12"/>
      <color rgb="FF0000CC"/>
      <name val="AR P丸ゴシック体E"/>
      <family val="3"/>
      <charset val="128"/>
    </font>
    <font>
      <sz val="14"/>
      <color rgb="FF0000CC"/>
      <name val="AR P丸ゴシック体E"/>
      <family val="3"/>
      <charset val="128"/>
    </font>
    <font>
      <sz val="16"/>
      <color rgb="FF0000CC"/>
      <name val="AR P丸ゴシック体E"/>
      <family val="3"/>
      <charset val="128"/>
    </font>
    <font>
      <sz val="18"/>
      <color rgb="FF0000CC"/>
      <name val="AR P丸ゴシック体E"/>
      <family val="3"/>
      <charset val="128"/>
    </font>
    <font>
      <sz val="13"/>
      <color rgb="FF0000CC"/>
      <name val="AR P丸ゴシック体E"/>
      <family val="3"/>
      <charset val="128"/>
    </font>
    <font>
      <sz val="14"/>
      <color rgb="FF0000CC"/>
      <name val="AR Pゴシック体S"/>
      <family val="3"/>
      <charset val="128"/>
    </font>
    <font>
      <sz val="16"/>
      <color rgb="FFC00000"/>
      <name val="AR P丸ゴシック体E"/>
      <family val="3"/>
      <charset val="128"/>
    </font>
    <font>
      <sz val="14"/>
      <color theme="1"/>
      <name val="AR Pゴシック体S"/>
      <family val="3"/>
      <charset val="128"/>
    </font>
    <font>
      <sz val="14"/>
      <color rgb="FFC00000"/>
      <name val="AR P丸ゴシック体E"/>
      <family val="3"/>
      <charset val="128"/>
    </font>
    <font>
      <sz val="12"/>
      <color theme="1"/>
      <name val="AR Pゴシック体S"/>
      <family val="3"/>
      <charset val="128"/>
    </font>
    <font>
      <sz val="6"/>
      <name val="ＭＳ Ｐゴシック"/>
      <family val="3"/>
      <charset val="128"/>
    </font>
    <font>
      <b/>
      <sz val="11"/>
      <color rgb="FF0000CC"/>
      <name val="Meiryo UI"/>
      <family val="3"/>
      <charset val="128"/>
    </font>
    <font>
      <sz val="14"/>
      <color rgb="FFC00000"/>
      <name val="ＭＳ ゴシック"/>
      <family val="3"/>
      <charset val="128"/>
    </font>
    <font>
      <sz val="16"/>
      <color rgb="FFC00000"/>
      <name val="AR Pゴシック体S"/>
      <family val="3"/>
      <charset val="128"/>
    </font>
    <font>
      <b/>
      <sz val="11"/>
      <color theme="1"/>
      <name val="AR Pゴシック体S"/>
      <family val="3"/>
      <charset val="128"/>
    </font>
    <font>
      <sz val="12"/>
      <color rgb="FFC00000"/>
      <name val="AR Pゴシック体S"/>
      <family val="3"/>
      <charset val="128"/>
    </font>
    <font>
      <sz val="11"/>
      <color rgb="FF0000CC"/>
      <name val="AR Pゴシック体S"/>
      <family val="3"/>
      <charset val="128"/>
    </font>
    <font>
      <sz val="12"/>
      <color rgb="FF0000CC"/>
      <name val="AR Pゴシック体S"/>
      <family val="3"/>
      <charset val="128"/>
    </font>
    <font>
      <sz val="14"/>
      <color rgb="FFC00000"/>
      <name val="AR Pゴシック体S"/>
      <family val="3"/>
      <charset val="128"/>
    </font>
    <font>
      <sz val="14"/>
      <color indexed="81"/>
      <name val="AR P丸ゴシック体E"/>
      <family val="3"/>
      <charset val="128"/>
    </font>
    <font>
      <sz val="14"/>
      <name val="ＭＳ 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gradientFill degree="90">
        <stop position="0">
          <color theme="0"/>
        </stop>
        <stop position="0.5">
          <color theme="6" tint="0.80001220740379042"/>
        </stop>
        <stop position="1">
          <color theme="0"/>
        </stop>
      </gradient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hair">
        <color auto="1"/>
      </diagonal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" fontId="6" fillId="0" borderId="0"/>
  </cellStyleXfs>
  <cellXfs count="16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76" fontId="5" fillId="0" borderId="1" xfId="1" applyNumberFormat="1" applyFont="1" applyBorder="1">
      <alignment vertical="center"/>
    </xf>
    <xf numFmtId="0" fontId="5" fillId="0" borderId="0" xfId="0" applyFont="1" applyAlignment="1">
      <alignment horizontal="right" vertical="center" indent="1"/>
    </xf>
    <xf numFmtId="0" fontId="5" fillId="0" borderId="0" xfId="0" applyFont="1" applyAlignme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38" fontId="5" fillId="0" borderId="0" xfId="0" applyNumberFormat="1" applyFont="1">
      <alignment vertical="center"/>
    </xf>
    <xf numFmtId="0" fontId="5" fillId="0" borderId="0" xfId="0" applyFont="1" applyAlignment="1">
      <alignment horizontal="center" vertical="center" wrapText="1"/>
    </xf>
    <xf numFmtId="3" fontId="7" fillId="0" borderId="0" xfId="2" applyFont="1" applyAlignment="1">
      <alignment vertical="center"/>
    </xf>
    <xf numFmtId="3" fontId="8" fillId="0" borderId="0" xfId="2" applyFont="1" applyAlignment="1">
      <alignment vertical="center"/>
    </xf>
    <xf numFmtId="0" fontId="9" fillId="0" borderId="0" xfId="0" applyFont="1">
      <alignment vertical="center"/>
    </xf>
    <xf numFmtId="0" fontId="3" fillId="0" borderId="0" xfId="0" applyFont="1" applyAlignment="1">
      <alignment vertical="center" shrinkToFit="1"/>
    </xf>
    <xf numFmtId="38" fontId="3" fillId="0" borderId="0" xfId="1" applyFont="1">
      <alignment vertical="center"/>
    </xf>
    <xf numFmtId="38" fontId="3" fillId="0" borderId="0" xfId="1" applyFont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38" fontId="3" fillId="0" borderId="2" xfId="1" applyFont="1" applyBorder="1" applyAlignment="1">
      <alignment horizontal="center" vertical="center"/>
    </xf>
    <xf numFmtId="38" fontId="3" fillId="0" borderId="2" xfId="1" applyFont="1" applyFill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7" xfId="0" applyFont="1" applyBorder="1" applyAlignment="1">
      <alignment vertical="center" shrinkToFit="1"/>
    </xf>
    <xf numFmtId="38" fontId="3" fillId="2" borderId="5" xfId="1" applyFont="1" applyFill="1" applyBorder="1">
      <alignment vertical="center"/>
    </xf>
    <xf numFmtId="38" fontId="3" fillId="2" borderId="2" xfId="1" applyFont="1" applyFill="1" applyBorder="1">
      <alignment vertical="center"/>
    </xf>
    <xf numFmtId="38" fontId="3" fillId="0" borderId="5" xfId="1" applyFont="1" applyBorder="1">
      <alignment vertical="center"/>
    </xf>
    <xf numFmtId="0" fontId="3" fillId="0" borderId="2" xfId="0" applyFont="1" applyFill="1" applyBorder="1">
      <alignment vertical="center"/>
    </xf>
    <xf numFmtId="38" fontId="3" fillId="0" borderId="2" xfId="1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Fill="1" applyBorder="1">
      <alignment vertical="center"/>
    </xf>
    <xf numFmtId="38" fontId="3" fillId="0" borderId="3" xfId="1" applyFont="1" applyBorder="1">
      <alignment vertical="center"/>
    </xf>
    <xf numFmtId="38" fontId="3" fillId="2" borderId="3" xfId="1" applyFont="1" applyFill="1" applyBorder="1">
      <alignment vertical="center"/>
    </xf>
    <xf numFmtId="0" fontId="3" fillId="0" borderId="3" xfId="0" applyFont="1" applyBorder="1" applyAlignment="1">
      <alignment vertical="center" shrinkToFit="1"/>
    </xf>
    <xf numFmtId="38" fontId="3" fillId="2" borderId="4" xfId="1" applyFont="1" applyFill="1" applyBorder="1">
      <alignment vertical="center"/>
    </xf>
    <xf numFmtId="0" fontId="3" fillId="0" borderId="11" xfId="0" applyFont="1" applyBorder="1">
      <alignment vertical="center"/>
    </xf>
    <xf numFmtId="0" fontId="3" fillId="0" borderId="11" xfId="0" applyFont="1" applyBorder="1" applyAlignment="1">
      <alignment vertical="center" shrinkToFit="1"/>
    </xf>
    <xf numFmtId="38" fontId="3" fillId="0" borderId="10" xfId="1" applyFont="1" applyBorder="1">
      <alignment vertical="center"/>
    </xf>
    <xf numFmtId="0" fontId="3" fillId="0" borderId="3" xfId="0" applyFont="1" applyFill="1" applyBorder="1" applyAlignment="1">
      <alignment vertical="center" shrinkToFit="1"/>
    </xf>
    <xf numFmtId="0" fontId="3" fillId="0" borderId="11" xfId="0" applyFont="1" applyFill="1" applyBorder="1" applyAlignment="1">
      <alignment vertical="center" shrinkToFit="1"/>
    </xf>
    <xf numFmtId="38" fontId="3" fillId="0" borderId="11" xfId="1" applyFont="1" applyBorder="1">
      <alignment vertical="center"/>
    </xf>
    <xf numFmtId="0" fontId="3" fillId="0" borderId="7" xfId="0" applyFont="1" applyFill="1" applyBorder="1">
      <alignment vertical="center"/>
    </xf>
    <xf numFmtId="0" fontId="5" fillId="0" borderId="2" xfId="0" applyFont="1" applyBorder="1" applyAlignment="1">
      <alignment horizontal="center" vertical="center"/>
    </xf>
    <xf numFmtId="38" fontId="3" fillId="3" borderId="5" xfId="1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center" vertical="center"/>
    </xf>
    <xf numFmtId="38" fontId="3" fillId="3" borderId="5" xfId="1" applyFont="1" applyFill="1" applyBorder="1">
      <alignment vertical="center"/>
    </xf>
    <xf numFmtId="0" fontId="3" fillId="3" borderId="8" xfId="0" applyFont="1" applyFill="1" applyBorder="1">
      <alignment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shrinkToFit="1"/>
    </xf>
    <xf numFmtId="0" fontId="3" fillId="3" borderId="9" xfId="0" applyFont="1" applyFill="1" applyBorder="1">
      <alignment vertical="center"/>
    </xf>
    <xf numFmtId="0" fontId="3" fillId="3" borderId="12" xfId="0" applyFont="1" applyFill="1" applyBorder="1">
      <alignment vertical="center"/>
    </xf>
    <xf numFmtId="0" fontId="3" fillId="3" borderId="5" xfId="0" applyFont="1" applyFill="1" applyBorder="1" applyAlignment="1">
      <alignment vertical="center" shrinkToFit="1"/>
    </xf>
    <xf numFmtId="0" fontId="3" fillId="3" borderId="6" xfId="0" applyFont="1" applyFill="1" applyBorder="1">
      <alignment vertical="center"/>
    </xf>
    <xf numFmtId="38" fontId="3" fillId="4" borderId="2" xfId="1" applyFont="1" applyFill="1" applyBorder="1">
      <alignment vertical="center"/>
    </xf>
    <xf numFmtId="0" fontId="3" fillId="4" borderId="13" xfId="0" applyFont="1" applyFill="1" applyBorder="1" applyAlignment="1">
      <alignment vertical="center"/>
    </xf>
    <xf numFmtId="0" fontId="3" fillId="3" borderId="7" xfId="0" applyFont="1" applyFill="1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>
      <alignment vertical="center"/>
    </xf>
    <xf numFmtId="0" fontId="3" fillId="2" borderId="7" xfId="0" applyFont="1" applyFill="1" applyBorder="1">
      <alignment vertical="center"/>
    </xf>
    <xf numFmtId="38" fontId="3" fillId="0" borderId="0" xfId="0" applyNumberFormat="1" applyFont="1">
      <alignment vertical="center"/>
    </xf>
    <xf numFmtId="38" fontId="5" fillId="0" borderId="2" xfId="1" applyFont="1" applyBorder="1" applyAlignment="1">
      <alignment horizontal="right" vertical="center"/>
    </xf>
    <xf numFmtId="38" fontId="5" fillId="2" borderId="2" xfId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1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13" fillId="0" borderId="2" xfId="0" applyFont="1" applyBorder="1">
      <alignment vertical="center"/>
    </xf>
    <xf numFmtId="0" fontId="14" fillId="0" borderId="0" xfId="0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9" fillId="0" borderId="0" xfId="0" applyFont="1">
      <alignment vertical="center"/>
    </xf>
    <xf numFmtId="0" fontId="19" fillId="0" borderId="0" xfId="0" applyFont="1" applyAlignment="1">
      <alignment vertical="center" shrinkToFit="1"/>
    </xf>
    <xf numFmtId="38" fontId="19" fillId="0" borderId="0" xfId="1" applyFont="1">
      <alignment vertical="center"/>
    </xf>
    <xf numFmtId="38" fontId="19" fillId="0" borderId="0" xfId="1" applyFont="1" applyAlignment="1">
      <alignment horizontal="right" vertical="center"/>
    </xf>
    <xf numFmtId="0" fontId="19" fillId="3" borderId="8" xfId="0" applyFont="1" applyFill="1" applyBorder="1">
      <alignment vertical="center"/>
    </xf>
    <xf numFmtId="0" fontId="19" fillId="2" borderId="3" xfId="0" applyFont="1" applyFill="1" applyBorder="1">
      <alignment vertical="center"/>
    </xf>
    <xf numFmtId="0" fontId="19" fillId="0" borderId="3" xfId="0" applyFont="1" applyBorder="1" applyAlignment="1">
      <alignment vertical="center" shrinkToFit="1"/>
    </xf>
    <xf numFmtId="0" fontId="19" fillId="0" borderId="7" xfId="0" applyFont="1" applyBorder="1">
      <alignment vertical="center"/>
    </xf>
    <xf numFmtId="0" fontId="19" fillId="0" borderId="7" xfId="0" applyFont="1" applyBorder="1" applyAlignment="1">
      <alignment vertical="center" shrinkToFit="1"/>
    </xf>
    <xf numFmtId="0" fontId="19" fillId="3" borderId="9" xfId="0" applyFont="1" applyFill="1" applyBorder="1">
      <alignment vertical="center"/>
    </xf>
    <xf numFmtId="0" fontId="19" fillId="0" borderId="11" xfId="0" applyFont="1" applyBorder="1">
      <alignment vertical="center"/>
    </xf>
    <xf numFmtId="0" fontId="19" fillId="0" borderId="11" xfId="0" applyFont="1" applyBorder="1" applyAlignment="1">
      <alignment vertical="center" shrinkToFit="1"/>
    </xf>
    <xf numFmtId="0" fontId="19" fillId="0" borderId="3" xfId="0" applyFont="1" applyFill="1" applyBorder="1" applyAlignment="1">
      <alignment vertical="center" shrinkToFit="1"/>
    </xf>
    <xf numFmtId="0" fontId="19" fillId="0" borderId="11" xfId="0" applyFont="1" applyFill="1" applyBorder="1" applyAlignment="1">
      <alignment vertical="center" shrinkToFit="1"/>
    </xf>
    <xf numFmtId="0" fontId="19" fillId="2" borderId="7" xfId="0" applyFont="1" applyFill="1" applyBorder="1">
      <alignment vertical="center"/>
    </xf>
    <xf numFmtId="0" fontId="19" fillId="3" borderId="7" xfId="0" applyFont="1" applyFill="1" applyBorder="1">
      <alignment vertical="center"/>
    </xf>
    <xf numFmtId="0" fontId="19" fillId="0" borderId="7" xfId="0" applyFont="1" applyFill="1" applyBorder="1">
      <alignment vertical="center"/>
    </xf>
    <xf numFmtId="0" fontId="19" fillId="2" borderId="2" xfId="0" applyFont="1" applyFill="1" applyBorder="1" applyAlignment="1">
      <alignment horizontal="center" vertical="center"/>
    </xf>
    <xf numFmtId="0" fontId="19" fillId="0" borderId="2" xfId="0" applyFont="1" applyFill="1" applyBorder="1">
      <alignment vertical="center"/>
    </xf>
    <xf numFmtId="0" fontId="19" fillId="0" borderId="2" xfId="0" applyFont="1" applyBorder="1">
      <alignment vertical="center"/>
    </xf>
    <xf numFmtId="0" fontId="19" fillId="0" borderId="3" xfId="0" applyFont="1" applyFill="1" applyBorder="1">
      <alignment vertical="center"/>
    </xf>
    <xf numFmtId="0" fontId="20" fillId="0" borderId="2" xfId="0" applyFont="1" applyBorder="1">
      <alignment vertical="center"/>
    </xf>
    <xf numFmtId="0" fontId="21" fillId="7" borderId="2" xfId="0" applyFont="1" applyFill="1" applyBorder="1" applyAlignment="1">
      <alignment horizontal="center" vertical="center"/>
    </xf>
    <xf numFmtId="0" fontId="21" fillId="7" borderId="2" xfId="0" applyFont="1" applyFill="1" applyBorder="1" applyAlignment="1">
      <alignment horizontal="center" vertical="center" shrinkToFit="1"/>
    </xf>
    <xf numFmtId="38" fontId="21" fillId="7" borderId="2" xfId="1" applyFont="1" applyFill="1" applyBorder="1" applyAlignment="1">
      <alignment horizontal="center" vertical="center"/>
    </xf>
    <xf numFmtId="38" fontId="22" fillId="0" borderId="5" xfId="1" applyFont="1" applyBorder="1">
      <alignment vertical="center"/>
    </xf>
    <xf numFmtId="38" fontId="22" fillId="0" borderId="10" xfId="1" applyFont="1" applyBorder="1">
      <alignment vertical="center"/>
    </xf>
    <xf numFmtId="38" fontId="22" fillId="0" borderId="11" xfId="1" applyFont="1" applyBorder="1">
      <alignment vertical="center"/>
    </xf>
    <xf numFmtId="0" fontId="24" fillId="3" borderId="6" xfId="0" applyFont="1" applyFill="1" applyBorder="1" applyAlignment="1">
      <alignment horizontal="left" vertical="center"/>
    </xf>
    <xf numFmtId="0" fontId="19" fillId="0" borderId="7" xfId="0" applyFont="1" applyFill="1" applyBorder="1" applyAlignment="1">
      <alignment vertical="center" shrinkToFit="1"/>
    </xf>
    <xf numFmtId="38" fontId="25" fillId="6" borderId="2" xfId="1" applyFont="1" applyFill="1" applyBorder="1">
      <alignment vertical="center"/>
    </xf>
    <xf numFmtId="38" fontId="27" fillId="2" borderId="4" xfId="1" applyFont="1" applyFill="1" applyBorder="1">
      <alignment vertical="center"/>
    </xf>
    <xf numFmtId="38" fontId="27" fillId="2" borderId="5" xfId="1" applyFont="1" applyFill="1" applyBorder="1">
      <alignment vertical="center"/>
    </xf>
    <xf numFmtId="38" fontId="27" fillId="2" borderId="3" xfId="1" applyFont="1" applyFill="1" applyBorder="1">
      <alignment vertical="center"/>
    </xf>
    <xf numFmtId="0" fontId="23" fillId="0" borderId="0" xfId="0" applyFont="1" applyAlignment="1">
      <alignment horizontal="left" vertical="center" shrinkToFit="1"/>
    </xf>
    <xf numFmtId="38" fontId="23" fillId="0" borderId="0" xfId="0" applyNumberFormat="1" applyFont="1" applyAlignment="1">
      <alignment horizontal="left" vertical="center" shrinkToFit="1"/>
    </xf>
    <xf numFmtId="0" fontId="28" fillId="0" borderId="0" xfId="0" applyFont="1" applyAlignment="1">
      <alignment vertical="center" shrinkToFit="1"/>
    </xf>
    <xf numFmtId="177" fontId="28" fillId="0" borderId="0" xfId="0" applyNumberFormat="1" applyFont="1" applyAlignment="1">
      <alignment horizontal="right" vertical="center" shrinkToFit="1"/>
    </xf>
    <xf numFmtId="0" fontId="29" fillId="0" borderId="2" xfId="0" applyFont="1" applyBorder="1" applyAlignment="1">
      <alignment horizontal="center" vertical="center" shrinkToFit="1"/>
    </xf>
    <xf numFmtId="0" fontId="30" fillId="5" borderId="2" xfId="0" applyFont="1" applyFill="1" applyBorder="1" applyAlignment="1">
      <alignment horizontal="center" vertical="center" shrinkToFit="1"/>
    </xf>
    <xf numFmtId="0" fontId="31" fillId="0" borderId="0" xfId="0" applyFont="1" applyAlignment="1">
      <alignment horizontal="center" vertical="center" shrinkToFit="1"/>
    </xf>
    <xf numFmtId="0" fontId="32" fillId="0" borderId="0" xfId="0" applyFont="1" applyAlignment="1">
      <alignment horizontal="center" vertical="center" shrinkToFit="1"/>
    </xf>
    <xf numFmtId="38" fontId="32" fillId="0" borderId="0" xfId="1" applyFont="1" applyAlignment="1">
      <alignment horizontal="center" vertical="center" shrinkToFit="1"/>
    </xf>
    <xf numFmtId="0" fontId="33" fillId="0" borderId="0" xfId="0" applyFont="1" applyAlignment="1">
      <alignment horizontal="center" vertical="center" shrinkToFit="1"/>
    </xf>
    <xf numFmtId="0" fontId="34" fillId="0" borderId="0" xfId="0" applyFont="1" applyAlignment="1">
      <alignment horizontal="center" vertical="center" shrinkToFit="1"/>
    </xf>
    <xf numFmtId="0" fontId="35" fillId="0" borderId="0" xfId="0" applyFont="1" applyAlignment="1">
      <alignment horizontal="center" vertical="center" shrinkToFit="1"/>
    </xf>
    <xf numFmtId="0" fontId="36" fillId="0" borderId="0" xfId="0" applyFont="1" applyAlignment="1">
      <alignment horizontal="center" vertical="center" shrinkToFit="1"/>
    </xf>
    <xf numFmtId="0" fontId="37" fillId="0" borderId="0" xfId="0" applyFont="1">
      <alignment vertical="center"/>
    </xf>
    <xf numFmtId="0" fontId="24" fillId="3" borderId="8" xfId="0" applyFont="1" applyFill="1" applyBorder="1">
      <alignment vertical="center"/>
    </xf>
    <xf numFmtId="0" fontId="24" fillId="3" borderId="14" xfId="0" applyFont="1" applyFill="1" applyBorder="1" applyAlignment="1">
      <alignment horizontal="center" vertical="center" shrinkToFit="1"/>
    </xf>
    <xf numFmtId="38" fontId="25" fillId="3" borderId="5" xfId="1" applyFont="1" applyFill="1" applyBorder="1" applyAlignment="1">
      <alignment horizontal="right" vertical="center"/>
    </xf>
    <xf numFmtId="0" fontId="21" fillId="3" borderId="3" xfId="0" applyFont="1" applyFill="1" applyBorder="1" applyAlignment="1">
      <alignment horizontal="center" vertical="center"/>
    </xf>
    <xf numFmtId="0" fontId="21" fillId="3" borderId="14" xfId="0" applyFont="1" applyFill="1" applyBorder="1" applyAlignment="1">
      <alignment vertical="center" shrinkToFit="1"/>
    </xf>
    <xf numFmtId="38" fontId="25" fillId="3" borderId="5" xfId="1" applyFont="1" applyFill="1" applyBorder="1">
      <alignment vertical="center"/>
    </xf>
    <xf numFmtId="0" fontId="5" fillId="0" borderId="3" xfId="0" applyFont="1" applyBorder="1" applyAlignment="1">
      <alignment vertical="center" shrinkToFit="1"/>
    </xf>
    <xf numFmtId="0" fontId="5" fillId="0" borderId="11" xfId="0" applyFont="1" applyBorder="1" applyAlignment="1">
      <alignment horizontal="center" vertical="top" shrinkToFit="1"/>
    </xf>
    <xf numFmtId="0" fontId="5" fillId="0" borderId="7" xfId="0" applyFont="1" applyBorder="1" applyAlignment="1">
      <alignment horizontal="center" shrinkToFit="1"/>
    </xf>
    <xf numFmtId="0" fontId="39" fillId="0" borderId="0" xfId="0" applyFont="1" applyAlignment="1">
      <alignment horizontal="center" vertical="center" shrinkToFit="1"/>
    </xf>
    <xf numFmtId="0" fontId="32" fillId="0" borderId="0" xfId="0" applyFont="1" applyAlignment="1">
      <alignment vertical="center" shrinkToFit="1"/>
    </xf>
    <xf numFmtId="0" fontId="40" fillId="0" borderId="0" xfId="0" applyFont="1" applyAlignment="1">
      <alignment horizontal="center" vertical="center" shrinkToFit="1"/>
    </xf>
    <xf numFmtId="0" fontId="30" fillId="5" borderId="2" xfId="0" applyFont="1" applyFill="1" applyBorder="1" applyAlignment="1">
      <alignment horizontal="center" vertical="center"/>
    </xf>
    <xf numFmtId="0" fontId="44" fillId="0" borderId="2" xfId="0" applyFont="1" applyBorder="1" applyAlignment="1">
      <alignment horizontal="center" vertical="center"/>
    </xf>
    <xf numFmtId="0" fontId="38" fillId="0" borderId="0" xfId="0" applyFont="1" applyAlignment="1">
      <alignment horizontal="center" vertical="center" shrinkToFit="1"/>
    </xf>
    <xf numFmtId="38" fontId="34" fillId="0" borderId="0" xfId="0" applyNumberFormat="1" applyFont="1">
      <alignment vertical="center"/>
    </xf>
    <xf numFmtId="0" fontId="46" fillId="0" borderId="0" xfId="0" applyFont="1" applyAlignment="1">
      <alignment horizontal="center" vertical="center" shrinkToFit="1"/>
    </xf>
    <xf numFmtId="176" fontId="45" fillId="0" borderId="1" xfId="1" applyNumberFormat="1" applyFont="1" applyBorder="1">
      <alignment vertical="center"/>
    </xf>
    <xf numFmtId="0" fontId="21" fillId="6" borderId="2" xfId="0" applyFont="1" applyFill="1" applyBorder="1" applyAlignment="1">
      <alignment horizontal="center" vertical="center"/>
    </xf>
    <xf numFmtId="0" fontId="47" fillId="6" borderId="2" xfId="0" applyFont="1" applyFill="1" applyBorder="1" applyAlignment="1">
      <alignment horizontal="center" vertical="center"/>
    </xf>
    <xf numFmtId="0" fontId="48" fillId="0" borderId="0" xfId="0" applyFont="1" applyAlignment="1">
      <alignment horizontal="center" vertical="center" shrinkToFit="1"/>
    </xf>
    <xf numFmtId="0" fontId="42" fillId="0" borderId="0" xfId="0" applyFont="1" applyAlignment="1">
      <alignment vertical="center" shrinkToFit="1"/>
    </xf>
    <xf numFmtId="0" fontId="40" fillId="0" borderId="0" xfId="0" applyFont="1">
      <alignment vertical="center"/>
    </xf>
    <xf numFmtId="0" fontId="49" fillId="0" borderId="0" xfId="0" applyFont="1" applyAlignment="1">
      <alignment horizontal="center" vertical="center" shrinkToFit="1"/>
    </xf>
    <xf numFmtId="0" fontId="50" fillId="0" borderId="0" xfId="0" applyFont="1" applyAlignment="1">
      <alignment horizontal="center" vertical="center" shrinkToFit="1"/>
    </xf>
    <xf numFmtId="0" fontId="51" fillId="0" borderId="0" xfId="0" applyFont="1" applyAlignment="1">
      <alignment horizontal="center" vertical="center" shrinkToFit="1"/>
    </xf>
    <xf numFmtId="38" fontId="41" fillId="0" borderId="2" xfId="1" applyFont="1" applyBorder="1" applyAlignment="1">
      <alignment horizontal="right" vertical="center"/>
    </xf>
    <xf numFmtId="38" fontId="25" fillId="3" borderId="5" xfId="1" applyFont="1" applyFill="1" applyBorder="1" applyAlignment="1">
      <alignment horizontal="right" vertical="center" shrinkToFit="1"/>
    </xf>
    <xf numFmtId="38" fontId="26" fillId="2" borderId="2" xfId="1" applyFont="1" applyFill="1" applyBorder="1" applyAlignment="1">
      <alignment vertical="center" shrinkToFit="1"/>
    </xf>
    <xf numFmtId="38" fontId="22" fillId="0" borderId="2" xfId="1" applyFont="1" applyBorder="1" applyAlignment="1">
      <alignment vertical="center" shrinkToFit="1"/>
    </xf>
    <xf numFmtId="38" fontId="22" fillId="0" borderId="3" xfId="1" applyFont="1" applyBorder="1" applyAlignment="1">
      <alignment vertical="center" shrinkToFit="1"/>
    </xf>
    <xf numFmtId="38" fontId="26" fillId="2" borderId="3" xfId="1" applyFont="1" applyFill="1" applyBorder="1" applyAlignment="1">
      <alignment vertical="center" shrinkToFit="1"/>
    </xf>
    <xf numFmtId="38" fontId="25" fillId="3" borderId="5" xfId="1" applyFont="1" applyFill="1" applyBorder="1" applyAlignment="1">
      <alignment vertical="center" shrinkToFit="1"/>
    </xf>
    <xf numFmtId="38" fontId="25" fillId="6" borderId="2" xfId="1" applyFont="1" applyFill="1" applyBorder="1" applyAlignment="1">
      <alignment vertical="center" shrinkToFit="1"/>
    </xf>
    <xf numFmtId="0" fontId="23" fillId="0" borderId="0" xfId="0" applyFont="1" applyFill="1" applyAlignment="1">
      <alignment horizontal="left" vertical="center" shrinkToFit="1"/>
    </xf>
    <xf numFmtId="38" fontId="25" fillId="0" borderId="0" xfId="1" applyFont="1" applyBorder="1" applyAlignment="1">
      <alignment vertical="center" shrinkToFit="1"/>
    </xf>
    <xf numFmtId="178" fontId="5" fillId="0" borderId="0" xfId="0" applyNumberFormat="1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38" fontId="53" fillId="0" borderId="2" xfId="1" applyFont="1" applyFill="1" applyBorder="1" applyAlignment="1">
      <alignment horizontal="right" vertical="center"/>
    </xf>
    <xf numFmtId="38" fontId="53" fillId="2" borderId="2" xfId="1" applyFont="1" applyFill="1" applyBorder="1" applyAlignment="1">
      <alignment horizontal="right" vertical="center"/>
    </xf>
    <xf numFmtId="38" fontId="53" fillId="0" borderId="2" xfId="1" applyFont="1" applyBorder="1" applyAlignment="1">
      <alignment horizontal="right" vertical="center"/>
    </xf>
  </cellXfs>
  <cellStyles count="3">
    <cellStyle name="桁区切り" xfId="1" builtinId="6"/>
    <cellStyle name="標準" xfId="0" builtinId="0"/>
    <cellStyle name="標準_H23基金残高（予算資料）" xfId="2"/>
  </cellStyles>
  <dxfs count="15">
    <dxf>
      <font>
        <b/>
        <i val="0"/>
        <strike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strike val="0"/>
        <color rgb="FFFF0000"/>
      </font>
      <fill>
        <patternFill>
          <bgColor rgb="FFFFFF00"/>
        </patternFill>
      </fill>
    </dxf>
    <dxf>
      <font>
        <b/>
        <i val="0"/>
        <strike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strike val="0"/>
        <color rgb="FFFF0000"/>
      </font>
      <fill>
        <patternFill>
          <bgColor rgb="FFFFFF00"/>
        </patternFill>
      </fill>
    </dxf>
    <dxf>
      <font>
        <b/>
        <i val="0"/>
        <strike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strike val="0"/>
        <color rgb="FFFF0000"/>
      </font>
      <fill>
        <patternFill>
          <bgColor rgb="FFFFFF00"/>
        </patternFill>
      </fill>
    </dxf>
    <dxf>
      <font>
        <b/>
        <i val="0"/>
        <strike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strike val="0"/>
        <color rgb="FFFF0000"/>
      </font>
      <fill>
        <patternFill>
          <bgColor rgb="FFFFFF00"/>
        </patternFill>
      </fill>
    </dxf>
    <dxf>
      <font>
        <b/>
        <i val="0"/>
        <strike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strike val="0"/>
        <color rgb="FFFF0000"/>
      </font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CC990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28</xdr:row>
      <xdr:rowOff>0</xdr:rowOff>
    </xdr:from>
    <xdr:to>
      <xdr:col>11</xdr:col>
      <xdr:colOff>9525</xdr:colOff>
      <xdr:row>52</xdr:row>
      <xdr:rowOff>276225</xdr:rowOff>
    </xdr:to>
    <xdr:pic>
      <xdr:nvPicPr>
        <xdr:cNvPr id="2" name="図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29800"/>
          <a:ext cx="14906625" cy="919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28</xdr:row>
      <xdr:rowOff>0</xdr:rowOff>
    </xdr:from>
    <xdr:to>
      <xdr:col>11</xdr:col>
      <xdr:colOff>9525</xdr:colOff>
      <xdr:row>52</xdr:row>
      <xdr:rowOff>276225</xdr:rowOff>
    </xdr:to>
    <xdr:pic>
      <xdr:nvPicPr>
        <xdr:cNvPr id="2" name="図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29800"/>
          <a:ext cx="14906625" cy="919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28</xdr:row>
      <xdr:rowOff>0</xdr:rowOff>
    </xdr:from>
    <xdr:to>
      <xdr:col>11</xdr:col>
      <xdr:colOff>9525</xdr:colOff>
      <xdr:row>52</xdr:row>
      <xdr:rowOff>276225</xdr:rowOff>
    </xdr:to>
    <xdr:pic>
      <xdr:nvPicPr>
        <xdr:cNvPr id="2" name="図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29800"/>
          <a:ext cx="14906625" cy="919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28</xdr:row>
      <xdr:rowOff>0</xdr:rowOff>
    </xdr:from>
    <xdr:to>
      <xdr:col>11</xdr:col>
      <xdr:colOff>9525</xdr:colOff>
      <xdr:row>52</xdr:row>
      <xdr:rowOff>276225</xdr:rowOff>
    </xdr:to>
    <xdr:pic>
      <xdr:nvPicPr>
        <xdr:cNvPr id="2" name="図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29800"/>
          <a:ext cx="14906625" cy="919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28</xdr:row>
      <xdr:rowOff>0</xdr:rowOff>
    </xdr:from>
    <xdr:to>
      <xdr:col>11</xdr:col>
      <xdr:colOff>9525</xdr:colOff>
      <xdr:row>52</xdr:row>
      <xdr:rowOff>276225</xdr:rowOff>
    </xdr:to>
    <xdr:pic>
      <xdr:nvPicPr>
        <xdr:cNvPr id="2" name="図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29800"/>
          <a:ext cx="14906625" cy="919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28</xdr:row>
      <xdr:rowOff>0</xdr:rowOff>
    </xdr:from>
    <xdr:to>
      <xdr:col>11</xdr:col>
      <xdr:colOff>9525</xdr:colOff>
      <xdr:row>52</xdr:row>
      <xdr:rowOff>276225</xdr:rowOff>
    </xdr:to>
    <xdr:pic>
      <xdr:nvPicPr>
        <xdr:cNvPr id="2" name="図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29800"/>
          <a:ext cx="14906625" cy="919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28</xdr:row>
      <xdr:rowOff>0</xdr:rowOff>
    </xdr:from>
    <xdr:to>
      <xdr:col>11</xdr:col>
      <xdr:colOff>9525</xdr:colOff>
      <xdr:row>52</xdr:row>
      <xdr:rowOff>276225</xdr:rowOff>
    </xdr:to>
    <xdr:pic>
      <xdr:nvPicPr>
        <xdr:cNvPr id="4" name="図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29800"/>
          <a:ext cx="14906625" cy="919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6.bin"/><Relationship Id="rId4" Type="http://schemas.openxmlformats.org/officeDocument/2006/relationships/comments" Target="../comments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E53"/>
  <sheetViews>
    <sheetView workbookViewId="0">
      <selection activeCell="E2" sqref="E2:E53"/>
    </sheetView>
  </sheetViews>
  <sheetFormatPr defaultColWidth="10.625" defaultRowHeight="15" customHeight="1"/>
  <cols>
    <col min="1" max="1" width="4.625" style="112" customWidth="1"/>
    <col min="2" max="2" width="11.625" style="111" customWidth="1"/>
    <col min="3" max="4" width="10.625" style="111"/>
    <col min="5" max="5" width="8.625" style="111" customWidth="1"/>
    <col min="6" max="16384" width="10.625" style="111"/>
  </cols>
  <sheetData>
    <row r="1" spans="1:5" ht="15" customHeight="1">
      <c r="B1" s="114" t="s">
        <v>131</v>
      </c>
      <c r="C1" s="114" t="s">
        <v>182</v>
      </c>
      <c r="E1" s="135" t="s">
        <v>236</v>
      </c>
    </row>
    <row r="2" spans="1:5" ht="15" customHeight="1">
      <c r="A2" s="112">
        <v>1</v>
      </c>
      <c r="B2" s="113" t="s">
        <v>132</v>
      </c>
      <c r="C2" s="113" t="s">
        <v>183</v>
      </c>
      <c r="E2" s="136" t="str">
        <f>SUBSTITUTE(ADDRESS(1,ROW()-1,4),1,"")</f>
        <v>A</v>
      </c>
    </row>
    <row r="3" spans="1:5" ht="15" customHeight="1">
      <c r="A3" s="112">
        <v>2</v>
      </c>
      <c r="B3" s="113" t="s">
        <v>133</v>
      </c>
      <c r="C3" s="113" t="s">
        <v>184</v>
      </c>
      <c r="E3" s="136" t="str">
        <f t="shared" ref="E3:E53" si="0">SUBSTITUTE(ADDRESS(1,ROW()-1,4),1,"")</f>
        <v>B</v>
      </c>
    </row>
    <row r="4" spans="1:5" ht="15" customHeight="1">
      <c r="A4" s="112">
        <v>3</v>
      </c>
      <c r="B4" s="113" t="s">
        <v>134</v>
      </c>
      <c r="C4" s="113" t="s">
        <v>185</v>
      </c>
      <c r="E4" s="136" t="str">
        <f t="shared" si="0"/>
        <v>C</v>
      </c>
    </row>
    <row r="5" spans="1:5" ht="15" customHeight="1">
      <c r="A5" s="112">
        <v>4</v>
      </c>
      <c r="B5" s="113" t="s">
        <v>135</v>
      </c>
      <c r="C5" s="113" t="s">
        <v>186</v>
      </c>
      <c r="E5" s="136" t="str">
        <f t="shared" si="0"/>
        <v>D</v>
      </c>
    </row>
    <row r="6" spans="1:5" ht="15" customHeight="1">
      <c r="A6" s="112">
        <v>5</v>
      </c>
      <c r="B6" s="113" t="s">
        <v>136</v>
      </c>
      <c r="C6" s="113" t="s">
        <v>187</v>
      </c>
      <c r="E6" s="136" t="str">
        <f t="shared" si="0"/>
        <v>E</v>
      </c>
    </row>
    <row r="7" spans="1:5" ht="15" customHeight="1">
      <c r="A7" s="112">
        <v>6</v>
      </c>
      <c r="B7" s="113" t="s">
        <v>137</v>
      </c>
      <c r="C7" s="113" t="s">
        <v>188</v>
      </c>
      <c r="E7" s="136" t="str">
        <f t="shared" si="0"/>
        <v>F</v>
      </c>
    </row>
    <row r="8" spans="1:5" ht="15" customHeight="1">
      <c r="A8" s="112">
        <v>7</v>
      </c>
      <c r="B8" s="113" t="s">
        <v>138</v>
      </c>
      <c r="C8" s="113" t="s">
        <v>189</v>
      </c>
      <c r="E8" s="136" t="str">
        <f t="shared" si="0"/>
        <v>G</v>
      </c>
    </row>
    <row r="9" spans="1:5" ht="15" customHeight="1">
      <c r="A9" s="112">
        <v>8</v>
      </c>
      <c r="B9" s="113" t="s">
        <v>139</v>
      </c>
      <c r="C9" s="113" t="s">
        <v>190</v>
      </c>
      <c r="E9" s="136" t="str">
        <f t="shared" si="0"/>
        <v>H</v>
      </c>
    </row>
    <row r="10" spans="1:5" ht="15" customHeight="1">
      <c r="A10" s="112">
        <v>9</v>
      </c>
      <c r="B10" s="113" t="s">
        <v>140</v>
      </c>
      <c r="C10" s="113" t="s">
        <v>191</v>
      </c>
      <c r="E10" s="136" t="str">
        <f t="shared" si="0"/>
        <v>I</v>
      </c>
    </row>
    <row r="11" spans="1:5" ht="15" customHeight="1">
      <c r="A11" s="112">
        <v>10</v>
      </c>
      <c r="B11" s="113" t="s">
        <v>141</v>
      </c>
      <c r="C11" s="113" t="s">
        <v>192</v>
      </c>
      <c r="E11" s="136" t="str">
        <f t="shared" si="0"/>
        <v>J</v>
      </c>
    </row>
    <row r="12" spans="1:5" ht="15" customHeight="1">
      <c r="A12" s="112">
        <v>11</v>
      </c>
      <c r="B12" s="113" t="s">
        <v>142</v>
      </c>
      <c r="C12" s="113" t="s">
        <v>193</v>
      </c>
      <c r="E12" s="136" t="str">
        <f t="shared" si="0"/>
        <v>K</v>
      </c>
    </row>
    <row r="13" spans="1:5" ht="15" customHeight="1">
      <c r="A13" s="112">
        <v>12</v>
      </c>
      <c r="B13" s="113" t="s">
        <v>143</v>
      </c>
      <c r="C13" s="113" t="s">
        <v>194</v>
      </c>
      <c r="E13" s="136" t="str">
        <f t="shared" si="0"/>
        <v>L</v>
      </c>
    </row>
    <row r="14" spans="1:5" ht="15" customHeight="1">
      <c r="A14" s="112">
        <v>13</v>
      </c>
      <c r="B14" s="113" t="s">
        <v>144</v>
      </c>
      <c r="C14" s="113" t="s">
        <v>195</v>
      </c>
      <c r="E14" s="136" t="str">
        <f t="shared" si="0"/>
        <v>M</v>
      </c>
    </row>
    <row r="15" spans="1:5" ht="15" customHeight="1">
      <c r="A15" s="112">
        <v>14</v>
      </c>
      <c r="B15" s="113" t="s">
        <v>145</v>
      </c>
      <c r="C15" s="113" t="s">
        <v>196</v>
      </c>
      <c r="E15" s="136" t="str">
        <f t="shared" si="0"/>
        <v>N</v>
      </c>
    </row>
    <row r="16" spans="1:5" ht="15" customHeight="1">
      <c r="A16" s="112">
        <v>15</v>
      </c>
      <c r="B16" s="113" t="s">
        <v>146</v>
      </c>
      <c r="C16" s="113" t="s">
        <v>197</v>
      </c>
      <c r="E16" s="136" t="str">
        <f t="shared" si="0"/>
        <v>O</v>
      </c>
    </row>
    <row r="17" spans="1:5" ht="15" customHeight="1">
      <c r="A17" s="112">
        <v>16</v>
      </c>
      <c r="B17" s="113" t="s">
        <v>147</v>
      </c>
      <c r="C17" s="113" t="s">
        <v>198</v>
      </c>
      <c r="E17" s="136" t="str">
        <f t="shared" si="0"/>
        <v>P</v>
      </c>
    </row>
    <row r="18" spans="1:5" ht="15" customHeight="1">
      <c r="A18" s="112">
        <v>17</v>
      </c>
      <c r="B18" s="113" t="s">
        <v>148</v>
      </c>
      <c r="C18" s="113" t="s">
        <v>199</v>
      </c>
      <c r="E18" s="136" t="str">
        <f t="shared" si="0"/>
        <v>Q</v>
      </c>
    </row>
    <row r="19" spans="1:5" ht="15" customHeight="1">
      <c r="A19" s="112">
        <v>18</v>
      </c>
      <c r="B19" s="113" t="s">
        <v>149</v>
      </c>
      <c r="C19" s="113" t="s">
        <v>200</v>
      </c>
      <c r="E19" s="136" t="str">
        <f t="shared" si="0"/>
        <v>R</v>
      </c>
    </row>
    <row r="20" spans="1:5" ht="15" customHeight="1">
      <c r="A20" s="112">
        <v>19</v>
      </c>
      <c r="B20" s="113" t="s">
        <v>150</v>
      </c>
      <c r="C20" s="113" t="s">
        <v>201</v>
      </c>
      <c r="E20" s="136" t="str">
        <f t="shared" si="0"/>
        <v>S</v>
      </c>
    </row>
    <row r="21" spans="1:5" ht="15" customHeight="1">
      <c r="A21" s="112">
        <v>20</v>
      </c>
      <c r="B21" s="113" t="s">
        <v>151</v>
      </c>
      <c r="C21" s="113" t="s">
        <v>202</v>
      </c>
      <c r="E21" s="136" t="str">
        <f t="shared" si="0"/>
        <v>T</v>
      </c>
    </row>
    <row r="22" spans="1:5" ht="15" customHeight="1">
      <c r="A22" s="112">
        <v>21</v>
      </c>
      <c r="B22" s="113" t="s">
        <v>152</v>
      </c>
      <c r="C22" s="113" t="s">
        <v>203</v>
      </c>
      <c r="E22" s="136" t="str">
        <f t="shared" si="0"/>
        <v>U</v>
      </c>
    </row>
    <row r="23" spans="1:5" ht="15" customHeight="1">
      <c r="A23" s="112">
        <v>22</v>
      </c>
      <c r="B23" s="113" t="s">
        <v>153</v>
      </c>
      <c r="C23" s="113" t="s">
        <v>204</v>
      </c>
      <c r="E23" s="136" t="str">
        <f t="shared" si="0"/>
        <v>V</v>
      </c>
    </row>
    <row r="24" spans="1:5" ht="15" customHeight="1">
      <c r="A24" s="112">
        <v>23</v>
      </c>
      <c r="B24" s="113" t="s">
        <v>154</v>
      </c>
      <c r="C24" s="113" t="s">
        <v>205</v>
      </c>
      <c r="E24" s="136" t="str">
        <f t="shared" si="0"/>
        <v>W</v>
      </c>
    </row>
    <row r="25" spans="1:5" ht="15" customHeight="1">
      <c r="A25" s="112">
        <v>24</v>
      </c>
      <c r="B25" s="113" t="s">
        <v>155</v>
      </c>
      <c r="C25" s="113" t="s">
        <v>206</v>
      </c>
      <c r="E25" s="136" t="str">
        <f t="shared" si="0"/>
        <v>X</v>
      </c>
    </row>
    <row r="26" spans="1:5" ht="15" customHeight="1">
      <c r="A26" s="112">
        <v>25</v>
      </c>
      <c r="B26" s="113" t="s">
        <v>156</v>
      </c>
      <c r="C26" s="113" t="s">
        <v>207</v>
      </c>
      <c r="E26" s="136" t="str">
        <f t="shared" si="0"/>
        <v>Y</v>
      </c>
    </row>
    <row r="27" spans="1:5" ht="15" customHeight="1">
      <c r="A27" s="112">
        <v>26</v>
      </c>
      <c r="B27" s="113" t="s">
        <v>157</v>
      </c>
      <c r="C27" s="113" t="s">
        <v>208</v>
      </c>
      <c r="E27" s="136" t="str">
        <f t="shared" si="0"/>
        <v>Z</v>
      </c>
    </row>
    <row r="28" spans="1:5" ht="15" customHeight="1">
      <c r="A28" s="112">
        <v>27</v>
      </c>
      <c r="B28" s="113" t="s">
        <v>158</v>
      </c>
      <c r="C28" s="113" t="s">
        <v>209</v>
      </c>
      <c r="E28" s="136" t="str">
        <f t="shared" si="0"/>
        <v>AA</v>
      </c>
    </row>
    <row r="29" spans="1:5" ht="15" customHeight="1">
      <c r="A29" s="112">
        <v>28</v>
      </c>
      <c r="B29" s="113" t="s">
        <v>159</v>
      </c>
      <c r="C29" s="113" t="s">
        <v>210</v>
      </c>
      <c r="E29" s="136" t="str">
        <f t="shared" si="0"/>
        <v>AB</v>
      </c>
    </row>
    <row r="30" spans="1:5" ht="15" customHeight="1">
      <c r="A30" s="112">
        <v>29</v>
      </c>
      <c r="B30" s="113" t="s">
        <v>160</v>
      </c>
      <c r="C30" s="113" t="s">
        <v>211</v>
      </c>
      <c r="E30" s="136" t="str">
        <f t="shared" si="0"/>
        <v>AC</v>
      </c>
    </row>
    <row r="31" spans="1:5" ht="15" customHeight="1">
      <c r="A31" s="112">
        <v>30</v>
      </c>
      <c r="B31" s="113" t="s">
        <v>161</v>
      </c>
      <c r="C31" s="113" t="s">
        <v>212</v>
      </c>
      <c r="E31" s="136" t="str">
        <f t="shared" si="0"/>
        <v>AD</v>
      </c>
    </row>
    <row r="32" spans="1:5" ht="15" customHeight="1">
      <c r="A32" s="112">
        <v>31</v>
      </c>
      <c r="B32" s="113" t="s">
        <v>162</v>
      </c>
      <c r="C32" s="113" t="s">
        <v>213</v>
      </c>
      <c r="E32" s="136" t="str">
        <f t="shared" si="0"/>
        <v>AE</v>
      </c>
    </row>
    <row r="33" spans="1:5" ht="15" customHeight="1">
      <c r="A33" s="112">
        <v>32</v>
      </c>
      <c r="B33" s="113" t="s">
        <v>163</v>
      </c>
      <c r="C33" s="113" t="s">
        <v>214</v>
      </c>
      <c r="E33" s="136" t="str">
        <f t="shared" si="0"/>
        <v>AF</v>
      </c>
    </row>
    <row r="34" spans="1:5" ht="15" customHeight="1">
      <c r="A34" s="112">
        <v>33</v>
      </c>
      <c r="B34" s="113" t="s">
        <v>164</v>
      </c>
      <c r="C34" s="113" t="s">
        <v>215</v>
      </c>
      <c r="E34" s="136" t="str">
        <f t="shared" si="0"/>
        <v>AG</v>
      </c>
    </row>
    <row r="35" spans="1:5" ht="15" customHeight="1">
      <c r="A35" s="112">
        <v>34</v>
      </c>
      <c r="B35" s="113" t="s">
        <v>165</v>
      </c>
      <c r="C35" s="113" t="s">
        <v>216</v>
      </c>
      <c r="E35" s="136" t="str">
        <f t="shared" si="0"/>
        <v>AH</v>
      </c>
    </row>
    <row r="36" spans="1:5" ht="15" customHeight="1">
      <c r="A36" s="112">
        <v>35</v>
      </c>
      <c r="B36" s="113" t="s">
        <v>166</v>
      </c>
      <c r="C36" s="113" t="s">
        <v>217</v>
      </c>
      <c r="E36" s="136" t="str">
        <f t="shared" si="0"/>
        <v>AI</v>
      </c>
    </row>
    <row r="37" spans="1:5" ht="15" customHeight="1">
      <c r="A37" s="112">
        <v>36</v>
      </c>
      <c r="B37" s="113" t="s">
        <v>167</v>
      </c>
      <c r="C37" s="113" t="s">
        <v>218</v>
      </c>
      <c r="E37" s="136" t="str">
        <f t="shared" si="0"/>
        <v>AJ</v>
      </c>
    </row>
    <row r="38" spans="1:5" ht="15" customHeight="1">
      <c r="A38" s="112">
        <v>37</v>
      </c>
      <c r="B38" s="113" t="s">
        <v>168</v>
      </c>
      <c r="C38" s="113" t="s">
        <v>219</v>
      </c>
      <c r="E38" s="136" t="str">
        <f t="shared" si="0"/>
        <v>AK</v>
      </c>
    </row>
    <row r="39" spans="1:5" ht="15" customHeight="1">
      <c r="A39" s="112">
        <v>38</v>
      </c>
      <c r="B39" s="113" t="s">
        <v>169</v>
      </c>
      <c r="C39" s="113" t="s">
        <v>220</v>
      </c>
      <c r="E39" s="136" t="str">
        <f t="shared" si="0"/>
        <v>AL</v>
      </c>
    </row>
    <row r="40" spans="1:5" ht="15" customHeight="1">
      <c r="A40" s="112">
        <v>39</v>
      </c>
      <c r="B40" s="113" t="s">
        <v>170</v>
      </c>
      <c r="C40" s="113" t="s">
        <v>221</v>
      </c>
      <c r="E40" s="136" t="str">
        <f t="shared" si="0"/>
        <v>AM</v>
      </c>
    </row>
    <row r="41" spans="1:5" ht="15" customHeight="1">
      <c r="A41" s="112">
        <v>40</v>
      </c>
      <c r="B41" s="113" t="s">
        <v>171</v>
      </c>
      <c r="C41" s="113" t="s">
        <v>222</v>
      </c>
      <c r="E41" s="136" t="str">
        <f t="shared" si="0"/>
        <v>AN</v>
      </c>
    </row>
    <row r="42" spans="1:5" ht="15" customHeight="1">
      <c r="A42" s="112">
        <v>41</v>
      </c>
      <c r="B42" s="113" t="s">
        <v>172</v>
      </c>
      <c r="C42" s="113" t="s">
        <v>223</v>
      </c>
      <c r="E42" s="136" t="str">
        <f t="shared" si="0"/>
        <v>AO</v>
      </c>
    </row>
    <row r="43" spans="1:5" ht="15" customHeight="1">
      <c r="A43" s="112">
        <v>42</v>
      </c>
      <c r="B43" s="113" t="s">
        <v>173</v>
      </c>
      <c r="C43" s="113" t="s">
        <v>224</v>
      </c>
      <c r="E43" s="136" t="str">
        <f t="shared" si="0"/>
        <v>AP</v>
      </c>
    </row>
    <row r="44" spans="1:5" ht="15" customHeight="1">
      <c r="A44" s="112">
        <v>43</v>
      </c>
      <c r="B44" s="113" t="s">
        <v>174</v>
      </c>
      <c r="C44" s="113" t="s">
        <v>225</v>
      </c>
      <c r="E44" s="136" t="str">
        <f t="shared" si="0"/>
        <v>AQ</v>
      </c>
    </row>
    <row r="45" spans="1:5" ht="15" customHeight="1">
      <c r="A45" s="112">
        <v>44</v>
      </c>
      <c r="B45" s="113" t="s">
        <v>175</v>
      </c>
      <c r="C45" s="113" t="s">
        <v>226</v>
      </c>
      <c r="E45" s="136" t="str">
        <f t="shared" si="0"/>
        <v>AR</v>
      </c>
    </row>
    <row r="46" spans="1:5" ht="15" customHeight="1">
      <c r="A46" s="112">
        <v>45</v>
      </c>
      <c r="B46" s="113" t="s">
        <v>176</v>
      </c>
      <c r="C46" s="113" t="s">
        <v>227</v>
      </c>
      <c r="E46" s="136" t="str">
        <f t="shared" si="0"/>
        <v>AS</v>
      </c>
    </row>
    <row r="47" spans="1:5" ht="15" customHeight="1">
      <c r="A47" s="112">
        <v>46</v>
      </c>
      <c r="B47" s="113" t="s">
        <v>177</v>
      </c>
      <c r="C47" s="113" t="s">
        <v>228</v>
      </c>
      <c r="E47" s="136" t="str">
        <f t="shared" si="0"/>
        <v>AT</v>
      </c>
    </row>
    <row r="48" spans="1:5" ht="15" customHeight="1">
      <c r="A48" s="112">
        <v>47</v>
      </c>
      <c r="B48" s="113" t="s">
        <v>178</v>
      </c>
      <c r="C48" s="113" t="s">
        <v>229</v>
      </c>
      <c r="E48" s="136" t="str">
        <f t="shared" si="0"/>
        <v>AU</v>
      </c>
    </row>
    <row r="49" spans="1:5" ht="15" customHeight="1">
      <c r="A49" s="112">
        <v>48</v>
      </c>
      <c r="B49" s="113" t="s">
        <v>179</v>
      </c>
      <c r="C49" s="113" t="s">
        <v>230</v>
      </c>
      <c r="E49" s="136" t="str">
        <f t="shared" si="0"/>
        <v>AV</v>
      </c>
    </row>
    <row r="50" spans="1:5" ht="15" customHeight="1">
      <c r="A50" s="112">
        <v>49</v>
      </c>
      <c r="B50" s="113" t="s">
        <v>180</v>
      </c>
      <c r="C50" s="113" t="s">
        <v>231</v>
      </c>
      <c r="E50" s="136" t="str">
        <f t="shared" si="0"/>
        <v>AW</v>
      </c>
    </row>
    <row r="51" spans="1:5" ht="15" customHeight="1">
      <c r="A51" s="112">
        <v>50</v>
      </c>
      <c r="B51" s="113" t="s">
        <v>181</v>
      </c>
      <c r="C51" s="113" t="s">
        <v>232</v>
      </c>
      <c r="E51" s="136" t="str">
        <f t="shared" si="0"/>
        <v>AX</v>
      </c>
    </row>
    <row r="52" spans="1:5" ht="15" customHeight="1">
      <c r="E52" s="136" t="str">
        <f t="shared" si="0"/>
        <v>AY</v>
      </c>
    </row>
    <row r="53" spans="1:5" ht="15" customHeight="1">
      <c r="E53" s="136" t="str">
        <f t="shared" si="0"/>
        <v>AZ</v>
      </c>
    </row>
  </sheetData>
  <phoneticPr fontId="2"/>
  <dataValidations count="2">
    <dataValidation imeMode="hiragana" allowBlank="1" sqref="B1:D1048576 F1:XFD1048576 E1 E54:E1048576"/>
    <dataValidation imeMode="off" allowBlank="1" sqref="A1:A1048576 E2:E53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29"/>
  <sheetViews>
    <sheetView showGridLines="0" tabSelected="1" topLeftCell="C1" zoomScale="70" zoomScaleNormal="70" zoomScaleSheetLayoutView="70" workbookViewId="0">
      <selection activeCell="O8" sqref="O8"/>
    </sheetView>
  </sheetViews>
  <sheetFormatPr defaultRowHeight="29.25" customHeight="1"/>
  <cols>
    <col min="1" max="1" width="10.625" style="133" customWidth="1"/>
    <col min="2" max="2" width="17.5" style="133" customWidth="1"/>
    <col min="3" max="3" width="9.625" style="11" customWidth="1"/>
    <col min="4" max="10" width="19.25" style="1" customWidth="1"/>
    <col min="11" max="11" width="26.625" style="1" customWidth="1"/>
    <col min="12" max="12" width="19.25" style="1" customWidth="1"/>
    <col min="13" max="13" width="5.25" style="1" customWidth="1"/>
    <col min="14" max="14" width="8.625" style="1" customWidth="1"/>
    <col min="15" max="16" width="15.75" style="1" customWidth="1"/>
    <col min="17" max="17" width="8.625" style="1" customWidth="1"/>
    <col min="18" max="18" width="21.5" style="1" customWidth="1"/>
    <col min="19" max="16384" width="9" style="1"/>
  </cols>
  <sheetData>
    <row r="1" spans="1:18" s="115" customFormat="1" ht="20.100000000000001" customHeight="1">
      <c r="A1" s="146" t="str">
        <f>CONCATENATE(A$2,A$3,A$4,A$2,A$5)</f>
        <v>B1:B100</v>
      </c>
      <c r="B1" s="147" t="str">
        <f ca="1">"'"&amp;$C$1&amp;"決算内訳'!"</f>
        <v>'R07決算内訳'!</v>
      </c>
      <c r="C1" s="121" t="str">
        <f ca="1">MID(RIGHT(CELL("filename",$AB$1),LEN(CELL("filename",$AB$1))-FIND("]",CELL("filename",$AB$1))),1,3)</f>
        <v>R07</v>
      </c>
      <c r="D1" s="119">
        <f ca="1">MATCH($C$1,年度２,0)</f>
        <v>7</v>
      </c>
      <c r="G1" s="120" t="str">
        <f>INDEX(列,MATCH(G$12,見出し,0),1)</f>
        <v>D</v>
      </c>
      <c r="H1" s="120" t="str">
        <f>INDEX(列,MATCH(H$12,見出し,0),1)</f>
        <v>F</v>
      </c>
      <c r="I1" s="120" t="str">
        <f>INDEX(列,MATCH(I$12,見出し,0),1)</f>
        <v>G</v>
      </c>
      <c r="J1" s="120" t="str">
        <f>INDEX(列,MATCH(J$12,見出し,0),1)</f>
        <v>H</v>
      </c>
      <c r="K1" s="139" t="str">
        <f>$G$1</f>
        <v>D</v>
      </c>
      <c r="L1" s="132"/>
    </row>
    <row r="2" spans="1:18" ht="23.25" customHeight="1">
      <c r="A2" s="137" t="str">
        <f>INDEX(列,MATCH($E$10,見出し,0),1)</f>
        <v>B</v>
      </c>
      <c r="D2" s="162" t="str">
        <f ca="1">INDEX(年度,$D$1,1)&amp;"一般会計決算における地方消費税交付金（社会保障財源化分）が充てられる社会保障施策に要する経費"</f>
        <v>令和７年度一般会計決算における地方消費税交付金（社会保障財源化分）が充てられる社会保障施策に要する経費</v>
      </c>
      <c r="E2" s="162"/>
      <c r="F2" s="162"/>
      <c r="G2" s="162"/>
      <c r="H2" s="162"/>
      <c r="I2" s="162"/>
      <c r="J2" s="162"/>
      <c r="K2" s="162"/>
      <c r="L2" s="162"/>
    </row>
    <row r="3" spans="1:18" ht="23.25" customHeight="1">
      <c r="A3" s="134">
        <v>1</v>
      </c>
      <c r="C3" s="12"/>
      <c r="D3" s="162"/>
      <c r="E3" s="162"/>
      <c r="F3" s="162"/>
      <c r="G3" s="162"/>
      <c r="H3" s="162"/>
      <c r="I3" s="162"/>
      <c r="J3" s="162"/>
      <c r="K3" s="162"/>
      <c r="L3" s="162"/>
    </row>
    <row r="4" spans="1:18" ht="23.25" customHeight="1">
      <c r="A4" s="134" t="s">
        <v>235</v>
      </c>
    </row>
    <row r="5" spans="1:18" s="7" customFormat="1" ht="23.25" customHeight="1">
      <c r="A5" s="134">
        <v>100</v>
      </c>
      <c r="B5" s="133"/>
      <c r="C5" s="11"/>
      <c r="D5" s="5" t="s">
        <v>0</v>
      </c>
      <c r="E5" s="6" t="s">
        <v>1</v>
      </c>
      <c r="F5" s="6"/>
      <c r="G5" s="6"/>
      <c r="H5" s="6"/>
      <c r="K5" s="4">
        <v>44357</v>
      </c>
    </row>
    <row r="6" spans="1:18" ht="23.25" customHeight="1">
      <c r="B6" s="134" t="s">
        <v>15</v>
      </c>
      <c r="D6" s="2"/>
      <c r="E6" s="3"/>
      <c r="F6" s="3"/>
      <c r="G6" s="3"/>
      <c r="H6" s="3"/>
    </row>
    <row r="7" spans="1:18" s="7" customFormat="1" ht="23.25" customHeight="1">
      <c r="A7" s="143" t="str">
        <f>A$1</f>
        <v>B1:B100</v>
      </c>
      <c r="B7" s="137">
        <f ca="1">MATCH($B$6,INDIRECT($B$1&amp;A7),0)</f>
        <v>55</v>
      </c>
      <c r="C7" s="11"/>
      <c r="D7" s="5" t="s">
        <v>2</v>
      </c>
      <c r="E7" s="6" t="s">
        <v>3</v>
      </c>
      <c r="F7" s="6"/>
      <c r="G7" s="6"/>
      <c r="H7" s="6"/>
      <c r="K7" s="140">
        <f ca="1">ROUND(INDIRECT($B$1&amp;K$1&amp;$B7),-3)/1000</f>
        <v>569894</v>
      </c>
    </row>
    <row r="8" spans="1:18" ht="23.25" customHeight="1">
      <c r="A8" s="144"/>
      <c r="B8" s="144"/>
    </row>
    <row r="9" spans="1:18" ht="29.25" customHeight="1">
      <c r="A9" s="144"/>
      <c r="B9" s="144"/>
      <c r="D9" s="7" t="s">
        <v>4</v>
      </c>
      <c r="G9" s="72" t="str">
        <f ca="1">IF(G25=K7,"","☟調整必要")</f>
        <v/>
      </c>
      <c r="H9" s="72" t="str">
        <f ca="1">IF(H28=H16+H20+H24,"","☟調整必要")</f>
        <v/>
      </c>
      <c r="I9" s="72" t="str">
        <f t="shared" ref="I9" ca="1" si="0">IF(I28=I16+I20+I24,"","☟調整必要")</f>
        <v/>
      </c>
      <c r="J9" s="72" t="str">
        <f ca="1">IF(J28=J16+J20+J24,"","☟調整必要")</f>
        <v/>
      </c>
      <c r="K9" s="72" t="str">
        <f ca="1">IF(K25=K5,"","☟調整必要")</f>
        <v/>
      </c>
      <c r="L9" s="8" t="s">
        <v>14</v>
      </c>
    </row>
    <row r="10" spans="1:18" s="7" customFormat="1" ht="29.25" customHeight="1">
      <c r="A10" s="144"/>
      <c r="B10" s="144"/>
      <c r="C10" s="11"/>
      <c r="D10" s="160" t="s">
        <v>5</v>
      </c>
      <c r="E10" s="160" t="s">
        <v>6</v>
      </c>
      <c r="F10" s="160"/>
      <c r="G10" s="129"/>
      <c r="H10" s="160" t="s">
        <v>13</v>
      </c>
      <c r="I10" s="160"/>
      <c r="J10" s="160"/>
      <c r="K10" s="160"/>
      <c r="L10" s="160"/>
    </row>
    <row r="11" spans="1:18" s="7" customFormat="1" ht="29.25" customHeight="1">
      <c r="A11" s="144"/>
      <c r="B11" s="144"/>
      <c r="C11" s="11"/>
      <c r="D11" s="160"/>
      <c r="E11" s="160"/>
      <c r="F11" s="160"/>
      <c r="G11" s="131" t="str">
        <f ca="1">INDEX(年度,$D$1,1)</f>
        <v>令和７年度</v>
      </c>
      <c r="H11" s="160" t="s">
        <v>10</v>
      </c>
      <c r="I11" s="160"/>
      <c r="J11" s="160"/>
      <c r="K11" s="160" t="s">
        <v>11</v>
      </c>
      <c r="L11" s="160"/>
    </row>
    <row r="12" spans="1:18" s="7" customFormat="1" ht="41.25" customHeight="1">
      <c r="A12" s="144"/>
      <c r="B12" s="145"/>
      <c r="C12" s="11"/>
      <c r="D12" s="160"/>
      <c r="E12" s="160"/>
      <c r="F12" s="160"/>
      <c r="G12" s="130" t="s">
        <v>233</v>
      </c>
      <c r="H12" s="74" t="s">
        <v>7</v>
      </c>
      <c r="I12" s="74" t="s">
        <v>8</v>
      </c>
      <c r="J12" s="74" t="s">
        <v>9</v>
      </c>
      <c r="K12" s="61" t="s">
        <v>12</v>
      </c>
      <c r="L12" s="74" t="s">
        <v>9</v>
      </c>
      <c r="O12" s="10" t="s">
        <v>29</v>
      </c>
      <c r="P12" s="10" t="s">
        <v>29</v>
      </c>
    </row>
    <row r="13" spans="1:18" s="7" customFormat="1" ht="29.25" customHeight="1">
      <c r="A13" s="143" t="str">
        <f>A$1</f>
        <v>B1:B100</v>
      </c>
      <c r="B13" s="137">
        <f ca="1">MATCH($E13,INDIRECT($B$1&amp;A13),0)</f>
        <v>6</v>
      </c>
      <c r="C13" s="11"/>
      <c r="D13" s="160" t="s">
        <v>16</v>
      </c>
      <c r="E13" s="161" t="s">
        <v>28</v>
      </c>
      <c r="F13" s="161"/>
      <c r="G13" s="165">
        <f ca="1">ROUND(INDIRECT($B$1&amp;G$1&amp;$B13),-3)/1000</f>
        <v>201272</v>
      </c>
      <c r="H13" s="165">
        <f t="shared" ref="H13:J13" ca="1" si="1">ROUND(INDIRECT($B$1&amp;H$1&amp;$B13),-3)/1000</f>
        <v>143070</v>
      </c>
      <c r="I13" s="165">
        <f t="shared" ca="1" si="1"/>
        <v>0</v>
      </c>
      <c r="J13" s="165">
        <f t="shared" ca="1" si="1"/>
        <v>370</v>
      </c>
      <c r="K13" s="166">
        <f ca="1">ROUND($K$5/$O$25*$O13,0)</f>
        <v>8621</v>
      </c>
      <c r="L13" s="167">
        <f ca="1">$G13-SUM($H13:$K13)</f>
        <v>49211</v>
      </c>
      <c r="O13" s="138">
        <f ca="1">$G13-(SUM($H13:$J13))</f>
        <v>57832</v>
      </c>
      <c r="P13" s="138">
        <f ca="1">SUM($K13:$L13)</f>
        <v>57832</v>
      </c>
      <c r="Q13" s="9">
        <f ca="1">O13-P13</f>
        <v>0</v>
      </c>
      <c r="R13" s="159">
        <f ca="1">O13/O25*K25</f>
        <v>8621.3405747663401</v>
      </c>
    </row>
    <row r="14" spans="1:18" s="7" customFormat="1" ht="29.25" customHeight="1">
      <c r="A14" s="143" t="str">
        <f t="shared" ref="A14:A15" si="2">A$1</f>
        <v>B1:B100</v>
      </c>
      <c r="B14" s="137">
        <f ca="1">MATCH($E14,INDIRECT($B$1&amp;A14),0)</f>
        <v>12</v>
      </c>
      <c r="C14" s="11"/>
      <c r="D14" s="160"/>
      <c r="E14" s="161" t="s">
        <v>24</v>
      </c>
      <c r="F14" s="161"/>
      <c r="G14" s="165">
        <f t="shared" ref="G14:J15" ca="1" si="3">ROUND(INDIRECT($B$1&amp;G$1&amp;$B14),-3)/1000</f>
        <v>52489</v>
      </c>
      <c r="H14" s="165">
        <f t="shared" ca="1" si="3"/>
        <v>181</v>
      </c>
      <c r="I14" s="165">
        <f t="shared" ca="1" si="3"/>
        <v>1400</v>
      </c>
      <c r="J14" s="165">
        <f ca="1">ROUND(INDIRECT($B$1&amp;J$1&amp;$B14),-3)/1000+1</f>
        <v>750</v>
      </c>
      <c r="K14" s="166">
        <f t="shared" ref="K14:K15" ca="1" si="4">ROUND($K$5/$O$25*$O14,0)</f>
        <v>7477</v>
      </c>
      <c r="L14" s="167">
        <f t="shared" ref="L14:L15" ca="1" si="5">$G14-SUM($H14:$K14)</f>
        <v>42681</v>
      </c>
      <c r="O14" s="138">
        <f t="shared" ref="O14:O25" ca="1" si="6">$G14-(SUM($H14:$J14))</f>
        <v>50158</v>
      </c>
      <c r="P14" s="138">
        <f t="shared" ref="P14:P25" ca="1" si="7">SUM($K14:$L14)</f>
        <v>50158</v>
      </c>
      <c r="Q14" s="9">
        <f t="shared" ref="Q14:Q25" ca="1" si="8">O14-P14</f>
        <v>0</v>
      </c>
      <c r="R14" s="159">
        <f ca="1">O14/O25*K25</f>
        <v>7477.3343572612057</v>
      </c>
    </row>
    <row r="15" spans="1:18" s="7" customFormat="1" ht="29.25" customHeight="1">
      <c r="A15" s="143" t="str">
        <f t="shared" si="2"/>
        <v>B1:B100</v>
      </c>
      <c r="B15" s="137">
        <f ca="1">MATCH($E15,INDIRECT($B$1&amp;A15),0)</f>
        <v>25</v>
      </c>
      <c r="C15" s="11"/>
      <c r="D15" s="160"/>
      <c r="E15" s="161" t="s">
        <v>25</v>
      </c>
      <c r="F15" s="161"/>
      <c r="G15" s="165">
        <f ca="1">ROUND(INDIRECT($B$1&amp;G$1&amp;$B15),-3)/1000+1</f>
        <v>145905</v>
      </c>
      <c r="H15" s="165">
        <f t="shared" ca="1" si="3"/>
        <v>47706</v>
      </c>
      <c r="I15" s="165">
        <f t="shared" ca="1" si="3"/>
        <v>6100</v>
      </c>
      <c r="J15" s="165">
        <f t="shared" ca="1" si="3"/>
        <v>34579</v>
      </c>
      <c r="K15" s="166">
        <f t="shared" ca="1" si="4"/>
        <v>8575</v>
      </c>
      <c r="L15" s="167">
        <f t="shared" ca="1" si="5"/>
        <v>48945</v>
      </c>
      <c r="O15" s="138">
        <f t="shared" ca="1" si="6"/>
        <v>57520</v>
      </c>
      <c r="P15" s="138">
        <f t="shared" ca="1" si="7"/>
        <v>57520</v>
      </c>
      <c r="Q15" s="9">
        <f t="shared" ca="1" si="8"/>
        <v>0</v>
      </c>
      <c r="R15" s="159">
        <f ca="1">O15/O25*K25</f>
        <v>8574.8289850006895</v>
      </c>
    </row>
    <row r="16" spans="1:18" s="7" customFormat="1" ht="29.25" customHeight="1">
      <c r="A16" s="134" t="s">
        <v>234</v>
      </c>
      <c r="B16" s="134" t="s">
        <v>234</v>
      </c>
      <c r="C16" s="11"/>
      <c r="D16" s="160"/>
      <c r="E16" s="160" t="s">
        <v>105</v>
      </c>
      <c r="F16" s="160"/>
      <c r="G16" s="165">
        <f ca="1">SUBTOTAL(9,G13:G15)</f>
        <v>399666</v>
      </c>
      <c r="H16" s="165">
        <f t="shared" ref="H16:J16" ca="1" si="9">SUBTOTAL(9,H13:H15)</f>
        <v>190957</v>
      </c>
      <c r="I16" s="165">
        <f t="shared" ca="1" si="9"/>
        <v>7500</v>
      </c>
      <c r="J16" s="165">
        <f t="shared" ca="1" si="9"/>
        <v>35699</v>
      </c>
      <c r="K16" s="166">
        <f ca="1">SUBTOTAL(9,K13:K15)</f>
        <v>24673</v>
      </c>
      <c r="L16" s="167">
        <f ca="1">SUBTOTAL(9,L13:L15)</f>
        <v>140837</v>
      </c>
      <c r="O16" s="138">
        <f t="shared" ca="1" si="6"/>
        <v>165510</v>
      </c>
      <c r="P16" s="138">
        <f t="shared" ca="1" si="7"/>
        <v>165510</v>
      </c>
      <c r="Q16" s="9">
        <f t="shared" ca="1" si="8"/>
        <v>0</v>
      </c>
      <c r="R16" s="159">
        <f ca="1">O16/O25*K25</f>
        <v>24673.503917028236</v>
      </c>
    </row>
    <row r="17" spans="1:18" s="7" customFormat="1" ht="29.25" customHeight="1">
      <c r="A17" s="143" t="str">
        <f t="shared" ref="A17:A23" si="10">A$1</f>
        <v>B1:B100</v>
      </c>
      <c r="B17" s="137">
        <f ca="1">MATCH($E17,INDIRECT($B$1&amp;A17),0)</f>
        <v>35</v>
      </c>
      <c r="C17" s="11"/>
      <c r="D17" s="160" t="s">
        <v>17</v>
      </c>
      <c r="E17" s="161" t="s">
        <v>19</v>
      </c>
      <c r="F17" s="161"/>
      <c r="G17" s="165">
        <f t="shared" ref="G17:J23" ca="1" si="11">ROUND(INDIRECT($B$1&amp;G$1&amp;$B17),-3)/1000</f>
        <v>25482</v>
      </c>
      <c r="H17" s="165">
        <f t="shared" ca="1" si="11"/>
        <v>14893</v>
      </c>
      <c r="I17" s="165">
        <f t="shared" ca="1" si="11"/>
        <v>0</v>
      </c>
      <c r="J17" s="165">
        <f t="shared" ca="1" si="11"/>
        <v>0</v>
      </c>
      <c r="K17" s="166">
        <f ca="1">ROUND($K$5/$O$25*$O17,0)</f>
        <v>1579</v>
      </c>
      <c r="L17" s="167">
        <f t="shared" ref="L17:L19" ca="1" si="12">$G17-SUM($H17:$K17)</f>
        <v>9010</v>
      </c>
      <c r="O17" s="138">
        <f t="shared" ca="1" si="6"/>
        <v>10589</v>
      </c>
      <c r="P17" s="138">
        <f t="shared" ca="1" si="7"/>
        <v>10589</v>
      </c>
      <c r="Q17" s="9">
        <f t="shared" ca="1" si="8"/>
        <v>0</v>
      </c>
      <c r="R17" s="159">
        <f ca="1">O17/O25*K25</f>
        <v>1578.5616154758745</v>
      </c>
    </row>
    <row r="18" spans="1:18" s="7" customFormat="1" ht="29.25" customHeight="1">
      <c r="A18" s="143" t="str">
        <f t="shared" si="10"/>
        <v>B1:B100</v>
      </c>
      <c r="B18" s="137">
        <f ca="1">MATCH($E18,INDIRECT($B$1&amp;A18),0)</f>
        <v>37</v>
      </c>
      <c r="C18" s="11"/>
      <c r="D18" s="160"/>
      <c r="E18" s="161" t="s">
        <v>20</v>
      </c>
      <c r="F18" s="161"/>
      <c r="G18" s="165">
        <f ca="1">ROUND(INDIRECT($B$1&amp;G$1&amp;$B18),-3)/1000</f>
        <v>48441</v>
      </c>
      <c r="H18" s="165">
        <f t="shared" ca="1" si="11"/>
        <v>3317</v>
      </c>
      <c r="I18" s="165">
        <f t="shared" ca="1" si="11"/>
        <v>0</v>
      </c>
      <c r="J18" s="165">
        <f t="shared" ca="1" si="11"/>
        <v>0</v>
      </c>
      <c r="K18" s="166">
        <f t="shared" ref="K18" ca="1" si="13">ROUND($K$5/$O$25*$O18,0)</f>
        <v>6727</v>
      </c>
      <c r="L18" s="167">
        <f t="shared" ca="1" si="12"/>
        <v>38397</v>
      </c>
      <c r="O18" s="138">
        <f t="shared" ca="1" si="6"/>
        <v>45124</v>
      </c>
      <c r="P18" s="138">
        <f t="shared" ca="1" si="7"/>
        <v>45124</v>
      </c>
      <c r="Q18" s="9">
        <f t="shared" ca="1" si="8"/>
        <v>0</v>
      </c>
      <c r="R18" s="159">
        <f ca="1">O18/O25*K25</f>
        <v>6726.887745465423</v>
      </c>
    </row>
    <row r="19" spans="1:18" s="7" customFormat="1" ht="29.25" customHeight="1">
      <c r="A19" s="143" t="str">
        <f t="shared" si="10"/>
        <v>B1:B100</v>
      </c>
      <c r="B19" s="137">
        <f ca="1">MATCH($E19,INDIRECT($B$1&amp;A19),0)</f>
        <v>39</v>
      </c>
      <c r="C19" s="11"/>
      <c r="D19" s="160"/>
      <c r="E19" s="161" t="s">
        <v>21</v>
      </c>
      <c r="F19" s="161"/>
      <c r="G19" s="165">
        <f ca="1">ROUND(INDIRECT($B$1&amp;G$1&amp;$B19),-3)/1000</f>
        <v>71297</v>
      </c>
      <c r="H19" s="165">
        <f ca="1">ROUND(INDIRECT($B$1&amp;H$1&amp;$B19),-3)/1000-1</f>
        <v>9128</v>
      </c>
      <c r="I19" s="165">
        <f t="shared" ca="1" si="11"/>
        <v>0</v>
      </c>
      <c r="J19" s="165">
        <f t="shared" ca="1" si="11"/>
        <v>0</v>
      </c>
      <c r="K19" s="166">
        <f ca="1">ROUND($K$5/$O$25*$O19,0)</f>
        <v>9268</v>
      </c>
      <c r="L19" s="167">
        <f t="shared" ca="1" si="12"/>
        <v>52901</v>
      </c>
      <c r="O19" s="138">
        <f t="shared" ca="1" si="6"/>
        <v>62169</v>
      </c>
      <c r="P19" s="138">
        <f t="shared" ca="1" si="7"/>
        <v>62169</v>
      </c>
      <c r="Q19" s="9">
        <f t="shared" ca="1" si="8"/>
        <v>0</v>
      </c>
      <c r="R19" s="159">
        <f ca="1">O19/O25*K25</f>
        <v>9267.881487630526</v>
      </c>
    </row>
    <row r="20" spans="1:18" s="7" customFormat="1" ht="29.25" customHeight="1">
      <c r="A20" s="134" t="s">
        <v>234</v>
      </c>
      <c r="B20" s="134" t="s">
        <v>234</v>
      </c>
      <c r="C20" s="11"/>
      <c r="D20" s="160"/>
      <c r="E20" s="160" t="s">
        <v>105</v>
      </c>
      <c r="F20" s="160"/>
      <c r="G20" s="165">
        <f t="shared" ref="G20:J20" ca="1" si="14">SUBTOTAL(9,G17:G19)</f>
        <v>145220</v>
      </c>
      <c r="H20" s="165">
        <f t="shared" ca="1" si="14"/>
        <v>27338</v>
      </c>
      <c r="I20" s="165">
        <f t="shared" ca="1" si="14"/>
        <v>0</v>
      </c>
      <c r="J20" s="165">
        <f t="shared" ca="1" si="14"/>
        <v>0</v>
      </c>
      <c r="K20" s="166">
        <f ca="1">SUBTOTAL(9,K17:K19)</f>
        <v>17574</v>
      </c>
      <c r="L20" s="167">
        <f ca="1">SUBTOTAL(9,L17:L19)</f>
        <v>100308</v>
      </c>
      <c r="O20" s="138">
        <f t="shared" ca="1" si="6"/>
        <v>117882</v>
      </c>
      <c r="P20" s="138">
        <f t="shared" ca="1" si="7"/>
        <v>117882</v>
      </c>
      <c r="Q20" s="9">
        <f t="shared" ca="1" si="8"/>
        <v>0</v>
      </c>
      <c r="R20" s="159">
        <f ca="1">O20/O25*K25</f>
        <v>17573.330848571823</v>
      </c>
    </row>
    <row r="21" spans="1:18" s="7" customFormat="1" ht="29.25" customHeight="1">
      <c r="A21" s="143" t="str">
        <f t="shared" ref="A21" si="15">A$1</f>
        <v>B1:B100</v>
      </c>
      <c r="B21" s="137">
        <f ca="1">MATCH($E21,INDIRECT($B$1&amp;A21),0)</f>
        <v>43</v>
      </c>
      <c r="C21" s="11"/>
      <c r="D21" s="160" t="s">
        <v>18</v>
      </c>
      <c r="E21" s="161" t="s">
        <v>23</v>
      </c>
      <c r="F21" s="161"/>
      <c r="G21" s="165">
        <f t="shared" ca="1" si="11"/>
        <v>7839</v>
      </c>
      <c r="H21" s="165">
        <f t="shared" ca="1" si="11"/>
        <v>1398</v>
      </c>
      <c r="I21" s="165">
        <f t="shared" ca="1" si="11"/>
        <v>3900</v>
      </c>
      <c r="J21" s="165">
        <f t="shared" ca="1" si="11"/>
        <v>0</v>
      </c>
      <c r="K21" s="166">
        <f ca="1">ROUND($K$5/$O$25*$O21,0)</f>
        <v>379</v>
      </c>
      <c r="L21" s="167">
        <f t="shared" ref="L21:L23" ca="1" si="16">$G21-SUM($H21:$K21)</f>
        <v>2162</v>
      </c>
      <c r="O21" s="138">
        <f t="shared" ca="1" si="6"/>
        <v>2541</v>
      </c>
      <c r="P21" s="138">
        <f t="shared" ca="1" si="7"/>
        <v>2541</v>
      </c>
      <c r="Q21" s="9">
        <f t="shared" ca="1" si="8"/>
        <v>0</v>
      </c>
      <c r="R21" s="159">
        <f ca="1">O21/O25*K25</f>
        <v>378.80112049524945</v>
      </c>
    </row>
    <row r="22" spans="1:18" s="7" customFormat="1" ht="29.25" customHeight="1">
      <c r="A22" s="143" t="str">
        <f t="shared" si="10"/>
        <v>B1:B100</v>
      </c>
      <c r="B22" s="137">
        <f ca="1">MATCH($E22,INDIRECT($B$1&amp;A22),0)</f>
        <v>47</v>
      </c>
      <c r="C22" s="11"/>
      <c r="D22" s="160"/>
      <c r="E22" s="161" t="s">
        <v>26</v>
      </c>
      <c r="F22" s="161"/>
      <c r="G22" s="165">
        <f ca="1">ROUND(INDIRECT($B$1&amp;G$1&amp;$B22),-3)/1000+1</f>
        <v>7075</v>
      </c>
      <c r="H22" s="165">
        <f t="shared" ca="1" si="11"/>
        <v>5</v>
      </c>
      <c r="I22" s="165">
        <f t="shared" ca="1" si="11"/>
        <v>0</v>
      </c>
      <c r="J22" s="165">
        <f t="shared" ca="1" si="11"/>
        <v>0</v>
      </c>
      <c r="K22" s="166">
        <f ca="1">ROUND($K$5/$O$25*$O22,0)</f>
        <v>1054</v>
      </c>
      <c r="L22" s="167">
        <f ca="1">$G22-SUM($H22:$K22)</f>
        <v>6016</v>
      </c>
      <c r="O22" s="138">
        <f t="shared" ca="1" si="6"/>
        <v>7070</v>
      </c>
      <c r="P22" s="138">
        <f t="shared" ca="1" si="7"/>
        <v>7070</v>
      </c>
      <c r="Q22" s="9">
        <f t="shared" ca="1" si="8"/>
        <v>0</v>
      </c>
      <c r="R22" s="159">
        <f ca="1">O22/O25*K25</f>
        <v>1053.9645501382975</v>
      </c>
    </row>
    <row r="23" spans="1:18" s="7" customFormat="1" ht="29.25" customHeight="1">
      <c r="A23" s="143" t="str">
        <f t="shared" si="10"/>
        <v>B1:B100</v>
      </c>
      <c r="B23" s="137">
        <f ca="1">MATCH($E23,INDIRECT($B$1&amp;A23),0)</f>
        <v>50</v>
      </c>
      <c r="C23" s="11"/>
      <c r="D23" s="160"/>
      <c r="E23" s="161" t="s">
        <v>27</v>
      </c>
      <c r="F23" s="161"/>
      <c r="G23" s="165">
        <f t="shared" ca="1" si="11"/>
        <v>10094</v>
      </c>
      <c r="H23" s="165">
        <f t="shared" ca="1" si="11"/>
        <v>1783</v>
      </c>
      <c r="I23" s="165">
        <f t="shared" ca="1" si="11"/>
        <v>0</v>
      </c>
      <c r="J23" s="165">
        <f t="shared" ca="1" si="11"/>
        <v>3767</v>
      </c>
      <c r="K23" s="166">
        <f ca="1">ROUND($K$5/$O$25*$O23,0)</f>
        <v>677</v>
      </c>
      <c r="L23" s="167">
        <f t="shared" ca="1" si="16"/>
        <v>3867</v>
      </c>
      <c r="O23" s="138">
        <f t="shared" ca="1" si="6"/>
        <v>4544</v>
      </c>
      <c r="P23" s="138">
        <f t="shared" ca="1" si="7"/>
        <v>4544</v>
      </c>
      <c r="Q23" s="9">
        <f t="shared" ca="1" si="8"/>
        <v>0</v>
      </c>
      <c r="R23" s="159">
        <f ca="1">O23/O25*K25</f>
        <v>677.39956376639657</v>
      </c>
    </row>
    <row r="24" spans="1:18" s="7" customFormat="1" ht="29.25" customHeight="1">
      <c r="A24" s="134" t="s">
        <v>234</v>
      </c>
      <c r="B24" s="134" t="s">
        <v>234</v>
      </c>
      <c r="C24" s="11"/>
      <c r="D24" s="160"/>
      <c r="E24" s="160" t="s">
        <v>105</v>
      </c>
      <c r="F24" s="160"/>
      <c r="G24" s="165">
        <f t="shared" ref="G24:J24" ca="1" si="17">SUBTOTAL(9,G21:G23)</f>
        <v>25008</v>
      </c>
      <c r="H24" s="165">
        <f t="shared" ca="1" si="17"/>
        <v>3186</v>
      </c>
      <c r="I24" s="165">
        <f t="shared" ca="1" si="17"/>
        <v>3900</v>
      </c>
      <c r="J24" s="165">
        <f t="shared" ca="1" si="17"/>
        <v>3767</v>
      </c>
      <c r="K24" s="166">
        <f ca="1">SUBTOTAL(9,K21:K23)</f>
        <v>2110</v>
      </c>
      <c r="L24" s="167">
        <f ca="1">SUBTOTAL(9,L21:L23)</f>
        <v>12045</v>
      </c>
      <c r="O24" s="138">
        <f t="shared" ca="1" si="6"/>
        <v>14155</v>
      </c>
      <c r="P24" s="138">
        <f t="shared" ca="1" si="7"/>
        <v>14155</v>
      </c>
      <c r="Q24" s="9">
        <f t="shared" ca="1" si="8"/>
        <v>0</v>
      </c>
      <c r="R24" s="159">
        <f ca="1">O24/O25*K25</f>
        <v>2110.1652343999435</v>
      </c>
    </row>
    <row r="25" spans="1:18" s="7" customFormat="1" ht="29.25" customHeight="1">
      <c r="A25" s="133"/>
      <c r="B25" s="133"/>
      <c r="C25" s="11"/>
      <c r="D25" s="160" t="s">
        <v>106</v>
      </c>
      <c r="E25" s="160"/>
      <c r="F25" s="160"/>
      <c r="G25" s="165">
        <f ca="1">SUBTOTAL(9,G13:G24)</f>
        <v>569894</v>
      </c>
      <c r="H25" s="165">
        <f ca="1">SUBTOTAL(9,H13:H24)</f>
        <v>221481</v>
      </c>
      <c r="I25" s="165">
        <f t="shared" ref="I25:J25" ca="1" si="18">SUBTOTAL(9,I13:I24)</f>
        <v>11400</v>
      </c>
      <c r="J25" s="165">
        <f t="shared" ca="1" si="18"/>
        <v>39466</v>
      </c>
      <c r="K25" s="166">
        <f ca="1">SUBTOTAL(9,K13:K24)</f>
        <v>44357</v>
      </c>
      <c r="L25" s="167">
        <f ca="1">SUBTOTAL(9,L13:L24)</f>
        <v>253190</v>
      </c>
      <c r="O25" s="138">
        <f t="shared" ca="1" si="6"/>
        <v>297547</v>
      </c>
      <c r="P25" s="138">
        <f t="shared" ca="1" si="7"/>
        <v>297547</v>
      </c>
      <c r="Q25" s="9">
        <f t="shared" ca="1" si="8"/>
        <v>0</v>
      </c>
      <c r="R25" s="159">
        <f ca="1">O25/O25*K25</f>
        <v>44357</v>
      </c>
    </row>
    <row r="26" spans="1:18" ht="29.25" customHeight="1">
      <c r="D26" s="7" t="s">
        <v>30</v>
      </c>
      <c r="K26" s="71"/>
    </row>
    <row r="27" spans="1:18" ht="21.75" customHeight="1">
      <c r="K27" s="9"/>
      <c r="L27" s="9"/>
    </row>
    <row r="28" spans="1:18" ht="21.75" customHeight="1">
      <c r="B28" s="148">
        <f ca="1">$B$7</f>
        <v>55</v>
      </c>
      <c r="G28" s="149">
        <f ca="1">ROUND(INDIRECT($B$1&amp;G$1&amp;$B28),-3)/1000</f>
        <v>569894</v>
      </c>
      <c r="H28" s="149">
        <f ca="1">ROUND(INDIRECT($B$1&amp;H$1&amp;$B28),-3)/1000</f>
        <v>221481</v>
      </c>
      <c r="I28" s="149">
        <f ca="1">ROUND(INDIRECT($B$1&amp;I$1&amp;$B28),-3)/1000</f>
        <v>11400</v>
      </c>
      <c r="J28" s="149">
        <f ca="1">ROUND(INDIRECT($B$1&amp;J$1&amp;$B28),-3)/1000</f>
        <v>39466</v>
      </c>
    </row>
    <row r="29" spans="1:18" ht="20.100000000000001" customHeight="1">
      <c r="G29" s="119" t="str">
        <f ca="1">IF(G$25=G$28,"OK","*NG*")</f>
        <v>OK</v>
      </c>
      <c r="H29" s="119" t="str">
        <f ca="1">IF(H$25=H$28,"OK","*NG*")</f>
        <v>OK</v>
      </c>
      <c r="I29" s="119" t="str">
        <f t="shared" ref="I29:J29" ca="1" si="19">IF(I$25=I$28,"OK","*NG*")</f>
        <v>OK</v>
      </c>
      <c r="J29" s="119" t="str">
        <f t="shared" ca="1" si="19"/>
        <v>OK</v>
      </c>
    </row>
  </sheetData>
  <mergeCells count="22">
    <mergeCell ref="D2:L3"/>
    <mergeCell ref="D10:D12"/>
    <mergeCell ref="E10:F12"/>
    <mergeCell ref="H10:L10"/>
    <mergeCell ref="H11:J11"/>
    <mergeCell ref="K11:L11"/>
    <mergeCell ref="D25:F25"/>
    <mergeCell ref="D13:D16"/>
    <mergeCell ref="E13:F13"/>
    <mergeCell ref="E14:F14"/>
    <mergeCell ref="E15:F15"/>
    <mergeCell ref="E16:F16"/>
    <mergeCell ref="D17:D20"/>
    <mergeCell ref="E17:F17"/>
    <mergeCell ref="E18:F18"/>
    <mergeCell ref="E19:F19"/>
    <mergeCell ref="E20:F20"/>
    <mergeCell ref="D21:D24"/>
    <mergeCell ref="E21:F21"/>
    <mergeCell ref="E22:F22"/>
    <mergeCell ref="E23:F23"/>
    <mergeCell ref="E24:F24"/>
  </mergeCells>
  <phoneticPr fontId="2"/>
  <conditionalFormatting sqref="K26">
    <cfRule type="containsText" dxfId="14" priority="3" operator="containsText" text="↑調整必要！！">
      <formula>NOT(ISERROR(SEARCH("↑調整必要！！",K26)))</formula>
    </cfRule>
  </conditionalFormatting>
  <conditionalFormatting sqref="G9:K9">
    <cfRule type="containsText" dxfId="13" priority="1" operator="containsText" text="調整">
      <formula>NOT(ISERROR(SEARCH("調整",G9)))</formula>
    </cfRule>
    <cfRule type="containsText" dxfId="12" priority="2" operator="containsText" text="↑調整必要！！">
      <formula>NOT(ISERROR(SEARCH("↑調整必要！！",G9)))</formula>
    </cfRule>
  </conditionalFormatting>
  <dataValidations count="2">
    <dataValidation imeMode="off" allowBlank="1" sqref="D2:L3 G11 A17:A19 A21:A23 G13:L25 A2:A15 C1:XFD1 B1:B26 A25:A26 A30:B1048576 K5:K7 A27:XFD29 O13:P25"/>
    <dataValidation imeMode="hiragana" allowBlank="1" sqref="G10 G12 A20 A24 A16 O12:P12"/>
  </dataValidations>
  <pageMargins left="0.31496062992125984" right="0.59055118110236227" top="0.86614173228346458" bottom="0.70866141732283472" header="0.31496062992125984" footer="0.31496062992125984"/>
  <pageSetup paperSize="9" scale="72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6"/>
  <sheetViews>
    <sheetView view="pageBreakPreview" zoomScale="85" zoomScaleNormal="85" zoomScaleSheetLayoutView="85" workbookViewId="0">
      <pane xSplit="3" ySplit="4" topLeftCell="E14" activePane="bottomRight" state="frozen"/>
      <selection pane="topRight" activeCell="D1" sqref="D1"/>
      <selection pane="bottomLeft" activeCell="A4" sqref="A4"/>
      <selection pane="bottomRight" activeCell="E20" sqref="E20"/>
    </sheetView>
  </sheetViews>
  <sheetFormatPr defaultRowHeight="16.5" customHeight="1"/>
  <cols>
    <col min="1" max="1" width="10.75" style="1" customWidth="1"/>
    <col min="2" max="2" width="22.875" style="1" customWidth="1"/>
    <col min="3" max="3" width="35.625" style="14" customWidth="1"/>
    <col min="4" max="4" width="15.625" style="15" customWidth="1"/>
    <col min="5" max="5" width="35.625" style="1" customWidth="1"/>
    <col min="6" max="10" width="15.625" style="15" customWidth="1"/>
    <col min="11" max="11" width="11.625" style="109" customWidth="1"/>
    <col min="12" max="16384" width="9" style="1"/>
  </cols>
  <sheetData>
    <row r="1" spans="1:11" s="116" customFormat="1" ht="16.5" customHeight="1">
      <c r="A1" s="121" t="str">
        <f ca="1">MID(RIGHT(CELL("filename",$Z$1),LEN(CELL("filename",$Z$1))-FIND("]",CELL("filename",$Z$1))),1,3)</f>
        <v>R07</v>
      </c>
      <c r="B1" s="118">
        <f ca="1">MATCH($A$1,年度２,0)</f>
        <v>7</v>
      </c>
      <c r="D1" s="117"/>
      <c r="F1" s="117"/>
      <c r="G1" s="117"/>
      <c r="H1" s="117"/>
      <c r="I1" s="117"/>
      <c r="J1" s="117"/>
    </row>
    <row r="2" spans="1:11" ht="16.5" customHeight="1">
      <c r="A2" s="122" t="str">
        <f ca="1">INDEX(年度,$B$1,1)&amp;"一般会計決算における地方消費税交付金（社会保障財源化分）が充てられる社会保障施策に要する経費"</f>
        <v>令和７年度一般会計決算における地方消費税交付金（社会保障財源化分）が充てられる社会保障施策に要する経費</v>
      </c>
    </row>
    <row r="3" spans="1:11" ht="16.5" customHeight="1">
      <c r="A3" s="75"/>
      <c r="B3" s="75"/>
      <c r="C3" s="76"/>
      <c r="D3" s="77"/>
      <c r="E3" s="75"/>
      <c r="F3" s="77"/>
      <c r="G3" s="77"/>
      <c r="H3" s="77"/>
      <c r="I3" s="77"/>
      <c r="J3" s="78" t="s">
        <v>87</v>
      </c>
    </row>
    <row r="4" spans="1:11" ht="16.5" customHeight="1">
      <c r="A4" s="97" t="s">
        <v>5</v>
      </c>
      <c r="B4" s="97" t="s">
        <v>6</v>
      </c>
      <c r="C4" s="98" t="s">
        <v>71</v>
      </c>
      <c r="D4" s="99" t="s">
        <v>46</v>
      </c>
      <c r="E4" s="97" t="s">
        <v>6</v>
      </c>
      <c r="F4" s="99" t="s">
        <v>7</v>
      </c>
      <c r="G4" s="99" t="s">
        <v>8</v>
      </c>
      <c r="H4" s="99" t="s">
        <v>9</v>
      </c>
      <c r="I4" s="99" t="s">
        <v>11</v>
      </c>
      <c r="J4" s="99" t="s">
        <v>44</v>
      </c>
    </row>
    <row r="5" spans="1:11" ht="16.5" customHeight="1">
      <c r="A5" s="123" t="s">
        <v>16</v>
      </c>
      <c r="B5" s="103"/>
      <c r="C5" s="124"/>
      <c r="D5" s="125">
        <f>SUM(D6,D12,D25)</f>
        <v>399665856</v>
      </c>
      <c r="E5" s="126" t="s">
        <v>90</v>
      </c>
      <c r="F5" s="150">
        <f>SUM(F6,F12,F25)</f>
        <v>190956812</v>
      </c>
      <c r="G5" s="150">
        <f>SUM(G6,G12,G25)</f>
        <v>7500000</v>
      </c>
      <c r="H5" s="150">
        <f>SUM(H6,H12,H25)</f>
        <v>35698345</v>
      </c>
      <c r="I5" s="150">
        <f>SUM(I6,I12,I25)</f>
        <v>165510699</v>
      </c>
      <c r="J5" s="150">
        <f>SUM(J6,J12,J25)</f>
        <v>399665856</v>
      </c>
      <c r="K5" s="110"/>
    </row>
    <row r="6" spans="1:11" ht="16.5" customHeight="1">
      <c r="A6" s="79"/>
      <c r="B6" s="80" t="s">
        <v>28</v>
      </c>
      <c r="C6" s="87" t="s">
        <v>68</v>
      </c>
      <c r="D6" s="106">
        <f>SUM(J6)</f>
        <v>201272285</v>
      </c>
      <c r="E6" s="92" t="s">
        <v>91</v>
      </c>
      <c r="F6" s="151">
        <f>SUM(F7:F11)</f>
        <v>143069500</v>
      </c>
      <c r="G6" s="151">
        <f>SUM(G7:G11)</f>
        <v>0</v>
      </c>
      <c r="H6" s="151">
        <f>SUM(H7:H11)</f>
        <v>369848</v>
      </c>
      <c r="I6" s="151">
        <f t="shared" ref="I6:J6" si="0">SUM(I7:I11)</f>
        <v>57832937</v>
      </c>
      <c r="J6" s="151">
        <f t="shared" si="0"/>
        <v>201272285</v>
      </c>
      <c r="K6" s="110"/>
    </row>
    <row r="7" spans="1:11" ht="16.5" customHeight="1">
      <c r="A7" s="79"/>
      <c r="B7" s="82"/>
      <c r="C7" s="83"/>
      <c r="D7" s="100"/>
      <c r="E7" s="93" t="s">
        <v>40</v>
      </c>
      <c r="F7" s="152">
        <v>1489000</v>
      </c>
      <c r="G7" s="152"/>
      <c r="H7" s="152">
        <v>369848</v>
      </c>
      <c r="I7" s="151">
        <f>J7-SUM(F7,G7,H7)</f>
        <v>1491850</v>
      </c>
      <c r="J7" s="152">
        <v>3350698</v>
      </c>
      <c r="K7" s="157" t="s">
        <v>130</v>
      </c>
    </row>
    <row r="8" spans="1:11" ht="16.5" customHeight="1">
      <c r="A8" s="79"/>
      <c r="B8" s="82"/>
      <c r="C8" s="83"/>
      <c r="D8" s="100"/>
      <c r="E8" s="93" t="s">
        <v>45</v>
      </c>
      <c r="F8" s="152"/>
      <c r="G8" s="152"/>
      <c r="H8" s="152"/>
      <c r="I8" s="151">
        <f>J8-SUM(F8,G8,H8)</f>
        <v>0</v>
      </c>
      <c r="J8" s="152">
        <v>0</v>
      </c>
      <c r="K8" s="157" t="s">
        <v>130</v>
      </c>
    </row>
    <row r="9" spans="1:11" ht="16.5" customHeight="1">
      <c r="A9" s="79"/>
      <c r="B9" s="82"/>
      <c r="C9" s="83"/>
      <c r="D9" s="100"/>
      <c r="E9" s="94" t="s">
        <v>41</v>
      </c>
      <c r="F9" s="152">
        <v>139870000</v>
      </c>
      <c r="G9" s="152"/>
      <c r="H9" s="152"/>
      <c r="I9" s="151">
        <f>J9-SUM(F9,G9,H9)</f>
        <v>48771937</v>
      </c>
      <c r="J9" s="152">
        <v>188641937</v>
      </c>
      <c r="K9" s="157" t="s">
        <v>130</v>
      </c>
    </row>
    <row r="10" spans="1:11" ht="16.5" customHeight="1">
      <c r="A10" s="79"/>
      <c r="B10" s="82"/>
      <c r="C10" s="83"/>
      <c r="D10" s="100"/>
      <c r="E10" s="93" t="s">
        <v>42</v>
      </c>
      <c r="F10" s="152">
        <v>687500</v>
      </c>
      <c r="G10" s="152"/>
      <c r="H10" s="152"/>
      <c r="I10" s="151">
        <f t="shared" ref="I10" si="1">J10-SUM(F10,G10,H10)</f>
        <v>47390</v>
      </c>
      <c r="J10" s="152">
        <v>734890</v>
      </c>
      <c r="K10" s="157" t="s">
        <v>130</v>
      </c>
    </row>
    <row r="11" spans="1:11" ht="16.5" customHeight="1">
      <c r="A11" s="79"/>
      <c r="B11" s="82"/>
      <c r="C11" s="83"/>
      <c r="D11" s="100"/>
      <c r="E11" s="95" t="s">
        <v>43</v>
      </c>
      <c r="F11" s="153">
        <v>1023000</v>
      </c>
      <c r="G11" s="153"/>
      <c r="H11" s="153"/>
      <c r="I11" s="154">
        <f>J11-SUM(F11,G11,H11)</f>
        <v>7521760</v>
      </c>
      <c r="J11" s="153">
        <v>8544760</v>
      </c>
      <c r="K11" s="157" t="s">
        <v>130</v>
      </c>
    </row>
    <row r="12" spans="1:11" ht="16.5" customHeight="1">
      <c r="A12" s="79"/>
      <c r="B12" s="80" t="s">
        <v>24</v>
      </c>
      <c r="C12" s="87" t="s">
        <v>69</v>
      </c>
      <c r="D12" s="106">
        <f>SUM(J12)</f>
        <v>52489155</v>
      </c>
      <c r="E12" s="92" t="s">
        <v>91</v>
      </c>
      <c r="F12" s="151">
        <f>SUM(F13:F24)</f>
        <v>181466</v>
      </c>
      <c r="G12" s="151">
        <f>SUM(G13:G24)</f>
        <v>1400000</v>
      </c>
      <c r="H12" s="151">
        <f>SUM(H13:H24)</f>
        <v>749467</v>
      </c>
      <c r="I12" s="151">
        <f>SUM(I13:I24)</f>
        <v>50158222</v>
      </c>
      <c r="J12" s="151">
        <f>SUM(J13:J24)</f>
        <v>52489155</v>
      </c>
      <c r="K12" s="110"/>
    </row>
    <row r="13" spans="1:11" ht="16.5" customHeight="1">
      <c r="A13" s="79"/>
      <c r="B13" s="82"/>
      <c r="C13" s="83"/>
      <c r="D13" s="100"/>
      <c r="E13" s="93" t="s">
        <v>47</v>
      </c>
      <c r="F13" s="152"/>
      <c r="G13" s="152"/>
      <c r="H13" s="152">
        <v>653958</v>
      </c>
      <c r="I13" s="154">
        <f t="shared" ref="I13:I36" si="2">J13-SUM(F13,G13,H13)</f>
        <v>16981187</v>
      </c>
      <c r="J13" s="152">
        <v>17635145</v>
      </c>
      <c r="K13" s="109" t="s">
        <v>130</v>
      </c>
    </row>
    <row r="14" spans="1:11" ht="16.5" customHeight="1">
      <c r="A14" s="79"/>
      <c r="B14" s="82"/>
      <c r="C14" s="83"/>
      <c r="D14" s="100"/>
      <c r="E14" s="93" t="s">
        <v>48</v>
      </c>
      <c r="F14" s="152"/>
      <c r="G14" s="152"/>
      <c r="H14" s="152">
        <v>8320</v>
      </c>
      <c r="I14" s="154">
        <f t="shared" si="2"/>
        <v>74880</v>
      </c>
      <c r="J14" s="152">
        <v>83200</v>
      </c>
      <c r="K14" s="109" t="s">
        <v>130</v>
      </c>
    </row>
    <row r="15" spans="1:11" ht="16.5" customHeight="1">
      <c r="A15" s="79"/>
      <c r="B15" s="82"/>
      <c r="C15" s="83"/>
      <c r="D15" s="100"/>
      <c r="E15" s="93" t="s">
        <v>49</v>
      </c>
      <c r="F15" s="152"/>
      <c r="G15" s="152"/>
      <c r="H15" s="152">
        <v>63643</v>
      </c>
      <c r="I15" s="154">
        <f t="shared" si="2"/>
        <v>23336357</v>
      </c>
      <c r="J15" s="152">
        <v>23400000</v>
      </c>
      <c r="K15" s="109" t="s">
        <v>130</v>
      </c>
    </row>
    <row r="16" spans="1:11" ht="16.5" customHeight="1">
      <c r="A16" s="79"/>
      <c r="B16" s="82"/>
      <c r="C16" s="83"/>
      <c r="D16" s="100"/>
      <c r="E16" s="93" t="s">
        <v>50</v>
      </c>
      <c r="F16" s="152"/>
      <c r="G16" s="152"/>
      <c r="H16" s="152">
        <v>8296</v>
      </c>
      <c r="I16" s="154">
        <f t="shared" si="2"/>
        <v>7943658</v>
      </c>
      <c r="J16" s="152">
        <v>7951954</v>
      </c>
      <c r="K16" s="109" t="s">
        <v>130</v>
      </c>
    </row>
    <row r="17" spans="1:11" ht="16.5" customHeight="1">
      <c r="A17" s="79"/>
      <c r="B17" s="82"/>
      <c r="C17" s="83"/>
      <c r="D17" s="100"/>
      <c r="E17" s="93" t="s">
        <v>51</v>
      </c>
      <c r="F17" s="152"/>
      <c r="G17" s="152"/>
      <c r="H17" s="152"/>
      <c r="I17" s="154">
        <f t="shared" si="2"/>
        <v>602228</v>
      </c>
      <c r="J17" s="152">
        <v>602228</v>
      </c>
      <c r="K17" s="109" t="s">
        <v>130</v>
      </c>
    </row>
    <row r="18" spans="1:11" ht="16.5" customHeight="1">
      <c r="A18" s="79"/>
      <c r="B18" s="82"/>
      <c r="C18" s="83"/>
      <c r="D18" s="100"/>
      <c r="E18" s="93" t="s">
        <v>52</v>
      </c>
      <c r="F18" s="152"/>
      <c r="G18" s="152"/>
      <c r="H18" s="152">
        <v>15250</v>
      </c>
      <c r="I18" s="154">
        <f t="shared" si="2"/>
        <v>144448</v>
      </c>
      <c r="J18" s="152">
        <v>159698</v>
      </c>
      <c r="K18" s="109" t="s">
        <v>130</v>
      </c>
    </row>
    <row r="19" spans="1:11" ht="16.5" customHeight="1">
      <c r="A19" s="79"/>
      <c r="B19" s="82"/>
      <c r="C19" s="83"/>
      <c r="D19" s="100"/>
      <c r="E19" s="93" t="s">
        <v>53</v>
      </c>
      <c r="F19" s="152"/>
      <c r="G19" s="152"/>
      <c r="H19" s="152"/>
      <c r="I19" s="154">
        <f t="shared" si="2"/>
        <v>24000</v>
      </c>
      <c r="J19" s="152">
        <v>24000</v>
      </c>
      <c r="K19" s="109" t="s">
        <v>130</v>
      </c>
    </row>
    <row r="20" spans="1:11" ht="16.5" customHeight="1">
      <c r="A20" s="79"/>
      <c r="B20" s="82"/>
      <c r="C20" s="83"/>
      <c r="D20" s="100"/>
      <c r="E20" s="93" t="s">
        <v>54</v>
      </c>
      <c r="F20" s="152"/>
      <c r="G20" s="152"/>
      <c r="H20" s="152"/>
      <c r="I20" s="154">
        <f t="shared" si="2"/>
        <v>402970</v>
      </c>
      <c r="J20" s="152">
        <v>402970</v>
      </c>
      <c r="K20" s="109" t="s">
        <v>130</v>
      </c>
    </row>
    <row r="21" spans="1:11" ht="16.5" customHeight="1">
      <c r="A21" s="79"/>
      <c r="B21" s="82"/>
      <c r="C21" s="83"/>
      <c r="D21" s="100"/>
      <c r="E21" s="93" t="s">
        <v>55</v>
      </c>
      <c r="F21" s="152">
        <v>181466</v>
      </c>
      <c r="G21" s="152"/>
      <c r="H21" s="152"/>
      <c r="I21" s="154">
        <f t="shared" si="2"/>
        <v>548534</v>
      </c>
      <c r="J21" s="152">
        <v>730000</v>
      </c>
      <c r="K21" s="109" t="s">
        <v>130</v>
      </c>
    </row>
    <row r="22" spans="1:11" ht="16.5" customHeight="1">
      <c r="A22" s="79"/>
      <c r="B22" s="82"/>
      <c r="C22" s="83"/>
      <c r="D22" s="100"/>
      <c r="E22" s="93" t="s">
        <v>56</v>
      </c>
      <c r="F22" s="152"/>
      <c r="G22" s="152"/>
      <c r="H22" s="152"/>
      <c r="I22" s="154">
        <f t="shared" si="2"/>
        <v>0</v>
      </c>
      <c r="J22" s="152">
        <v>0</v>
      </c>
      <c r="K22" s="109" t="s">
        <v>130</v>
      </c>
    </row>
    <row r="23" spans="1:11" ht="16.5" customHeight="1">
      <c r="A23" s="79"/>
      <c r="B23" s="82"/>
      <c r="C23" s="83"/>
      <c r="D23" s="100"/>
      <c r="E23" s="93" t="s">
        <v>57</v>
      </c>
      <c r="F23" s="152"/>
      <c r="G23" s="152">
        <v>1400000</v>
      </c>
      <c r="H23" s="152"/>
      <c r="I23" s="154">
        <f t="shared" si="2"/>
        <v>99960</v>
      </c>
      <c r="J23" s="152">
        <v>1499960</v>
      </c>
      <c r="K23" s="109" t="s">
        <v>130</v>
      </c>
    </row>
    <row r="24" spans="1:11" ht="16.5" customHeight="1">
      <c r="A24" s="79"/>
      <c r="B24" s="82"/>
      <c r="C24" s="83"/>
      <c r="D24" s="100"/>
      <c r="E24" s="95" t="s">
        <v>59</v>
      </c>
      <c r="F24" s="152"/>
      <c r="G24" s="152"/>
      <c r="H24" s="152"/>
      <c r="I24" s="154">
        <f t="shared" si="2"/>
        <v>0</v>
      </c>
      <c r="J24" s="152">
        <v>0</v>
      </c>
      <c r="K24" s="109" t="s">
        <v>130</v>
      </c>
    </row>
    <row r="25" spans="1:11" ht="16.5" customHeight="1">
      <c r="A25" s="79"/>
      <c r="B25" s="80" t="s">
        <v>25</v>
      </c>
      <c r="C25" s="87" t="s">
        <v>70</v>
      </c>
      <c r="D25" s="106">
        <f>SUM(J25)</f>
        <v>145904416</v>
      </c>
      <c r="E25" s="92" t="s">
        <v>91</v>
      </c>
      <c r="F25" s="151">
        <f>SUM(F26:F33)</f>
        <v>47705846</v>
      </c>
      <c r="G25" s="151">
        <f>SUM(G26:G33)</f>
        <v>6100000</v>
      </c>
      <c r="H25" s="151">
        <f>SUM(H26:H33)</f>
        <v>34579030</v>
      </c>
      <c r="I25" s="151">
        <f>SUM(I26:I33)</f>
        <v>57519540</v>
      </c>
      <c r="J25" s="151">
        <f>SUM(J26:J33)</f>
        <v>145904416</v>
      </c>
      <c r="K25" s="110"/>
    </row>
    <row r="26" spans="1:11" ht="16.5" customHeight="1">
      <c r="A26" s="79"/>
      <c r="B26" s="82"/>
      <c r="C26" s="83"/>
      <c r="D26" s="100"/>
      <c r="E26" s="94" t="s">
        <v>60</v>
      </c>
      <c r="F26" s="152">
        <v>29956331</v>
      </c>
      <c r="G26" s="152"/>
      <c r="H26" s="152"/>
      <c r="I26" s="154">
        <f t="shared" si="2"/>
        <v>6091997</v>
      </c>
      <c r="J26" s="152">
        <v>36048328</v>
      </c>
      <c r="K26" s="109" t="s">
        <v>130</v>
      </c>
    </row>
    <row r="27" spans="1:11" ht="16.5" customHeight="1">
      <c r="A27" s="79"/>
      <c r="B27" s="82"/>
      <c r="C27" s="83"/>
      <c r="D27" s="100"/>
      <c r="E27" s="94" t="s">
        <v>112</v>
      </c>
      <c r="F27" s="152"/>
      <c r="G27" s="152"/>
      <c r="H27" s="152"/>
      <c r="I27" s="154">
        <f t="shared" si="2"/>
        <v>7705090</v>
      </c>
      <c r="J27" s="152">
        <v>7705090</v>
      </c>
      <c r="K27" s="109" t="s">
        <v>130</v>
      </c>
    </row>
    <row r="28" spans="1:11" ht="16.5" customHeight="1">
      <c r="A28" s="79"/>
      <c r="B28" s="82"/>
      <c r="C28" s="83"/>
      <c r="D28" s="100"/>
      <c r="E28" s="96" t="s">
        <v>127</v>
      </c>
      <c r="F28" s="152"/>
      <c r="G28" s="152"/>
      <c r="H28" s="152"/>
      <c r="I28" s="154">
        <f>J28-SUM(F28,G28,H28)</f>
        <v>206000</v>
      </c>
      <c r="J28" s="152">
        <v>206000</v>
      </c>
      <c r="K28" s="109" t="s">
        <v>130</v>
      </c>
    </row>
    <row r="29" spans="1:11" ht="16.5" customHeight="1">
      <c r="A29" s="79"/>
      <c r="B29" s="82"/>
      <c r="C29" s="83"/>
      <c r="D29" s="100"/>
      <c r="E29" s="96" t="s">
        <v>121</v>
      </c>
      <c r="F29" s="152">
        <v>859000</v>
      </c>
      <c r="G29" s="152"/>
      <c r="H29" s="152"/>
      <c r="I29" s="154">
        <f>J29-SUM(F29,G29,H29)</f>
        <v>27735</v>
      </c>
      <c r="J29" s="152">
        <v>886735</v>
      </c>
      <c r="K29" s="109" t="s">
        <v>130</v>
      </c>
    </row>
    <row r="30" spans="1:11" ht="16.5" customHeight="1">
      <c r="A30" s="79"/>
      <c r="B30" s="82"/>
      <c r="C30" s="83"/>
      <c r="D30" s="100"/>
      <c r="E30" s="94" t="s">
        <v>61</v>
      </c>
      <c r="F30" s="152">
        <v>12032515</v>
      </c>
      <c r="G30" s="152">
        <v>6100000</v>
      </c>
      <c r="H30" s="152">
        <v>34579030</v>
      </c>
      <c r="I30" s="154">
        <f t="shared" si="2"/>
        <v>38795962</v>
      </c>
      <c r="J30" s="152">
        <v>91507507</v>
      </c>
      <c r="K30" s="109" t="s">
        <v>130</v>
      </c>
    </row>
    <row r="31" spans="1:11" ht="16.5" customHeight="1">
      <c r="A31" s="79"/>
      <c r="B31" s="82"/>
      <c r="C31" s="83"/>
      <c r="D31" s="100"/>
      <c r="E31" s="96" t="s">
        <v>122</v>
      </c>
      <c r="F31" s="152">
        <v>4858000</v>
      </c>
      <c r="G31" s="152"/>
      <c r="H31" s="152"/>
      <c r="I31" s="154">
        <f t="shared" si="2"/>
        <v>4549583</v>
      </c>
      <c r="J31" s="152">
        <v>9407583</v>
      </c>
      <c r="K31" s="109" t="s">
        <v>130</v>
      </c>
    </row>
    <row r="32" spans="1:11" ht="16.5" customHeight="1">
      <c r="A32" s="79"/>
      <c r="B32" s="82"/>
      <c r="C32" s="83"/>
      <c r="D32" s="100"/>
      <c r="E32" s="96" t="s">
        <v>128</v>
      </c>
      <c r="F32" s="152"/>
      <c r="G32" s="152"/>
      <c r="H32" s="152"/>
      <c r="I32" s="154">
        <f t="shared" si="2"/>
        <v>0</v>
      </c>
      <c r="J32" s="152">
        <v>0</v>
      </c>
      <c r="K32" s="109" t="s">
        <v>130</v>
      </c>
    </row>
    <row r="33" spans="1:11" ht="16.5" customHeight="1">
      <c r="A33" s="84"/>
      <c r="B33" s="85"/>
      <c r="C33" s="86"/>
      <c r="D33" s="101"/>
      <c r="E33" s="94" t="s">
        <v>62</v>
      </c>
      <c r="F33" s="152"/>
      <c r="G33" s="152"/>
      <c r="H33" s="152"/>
      <c r="I33" s="151">
        <f t="shared" si="2"/>
        <v>143173</v>
      </c>
      <c r="J33" s="152">
        <v>143173</v>
      </c>
      <c r="K33" s="109" t="s">
        <v>130</v>
      </c>
    </row>
    <row r="34" spans="1:11" ht="16.5" customHeight="1">
      <c r="A34" s="123" t="s">
        <v>89</v>
      </c>
      <c r="B34" s="103"/>
      <c r="C34" s="127"/>
      <c r="D34" s="128">
        <f>SUM(D35,D37,D39)</f>
        <v>145220306</v>
      </c>
      <c r="E34" s="126" t="s">
        <v>90</v>
      </c>
      <c r="F34" s="155">
        <f t="shared" ref="F34:J34" si="3">SUM(F35,F37,F39)</f>
        <v>27338397</v>
      </c>
      <c r="G34" s="155">
        <f t="shared" si="3"/>
        <v>0</v>
      </c>
      <c r="H34" s="155">
        <f t="shared" si="3"/>
        <v>0</v>
      </c>
      <c r="I34" s="155">
        <f>SUM(I35,I37,I39)</f>
        <v>117881909</v>
      </c>
      <c r="J34" s="155">
        <f t="shared" si="3"/>
        <v>145220306</v>
      </c>
      <c r="K34" s="110"/>
    </row>
    <row r="35" spans="1:11" ht="16.5" customHeight="1">
      <c r="A35" s="79"/>
      <c r="B35" s="80" t="s">
        <v>19</v>
      </c>
      <c r="C35" s="87" t="s">
        <v>31</v>
      </c>
      <c r="D35" s="108">
        <f>SUM(J35)</f>
        <v>25482268</v>
      </c>
      <c r="E35" s="92" t="s">
        <v>91</v>
      </c>
      <c r="F35" s="151">
        <f>SUM(F36)</f>
        <v>14892948</v>
      </c>
      <c r="G35" s="151">
        <f t="shared" ref="G35:J35" si="4">SUM(G36)</f>
        <v>0</v>
      </c>
      <c r="H35" s="151">
        <f t="shared" si="4"/>
        <v>0</v>
      </c>
      <c r="I35" s="151">
        <f t="shared" si="4"/>
        <v>10589320</v>
      </c>
      <c r="J35" s="151">
        <f t="shared" si="4"/>
        <v>25482268</v>
      </c>
      <c r="K35" s="110"/>
    </row>
    <row r="36" spans="1:11" ht="16.5" customHeight="1">
      <c r="A36" s="79"/>
      <c r="B36" s="85"/>
      <c r="C36" s="88"/>
      <c r="D36" s="102"/>
      <c r="E36" s="93" t="s">
        <v>63</v>
      </c>
      <c r="F36" s="152">
        <v>14892948</v>
      </c>
      <c r="G36" s="152"/>
      <c r="H36" s="152"/>
      <c r="I36" s="154">
        <f t="shared" si="2"/>
        <v>10589320</v>
      </c>
      <c r="J36" s="152">
        <v>25482268</v>
      </c>
      <c r="K36" s="109" t="s">
        <v>130</v>
      </c>
    </row>
    <row r="37" spans="1:11" ht="16.5" customHeight="1">
      <c r="A37" s="79"/>
      <c r="B37" s="80" t="s">
        <v>20</v>
      </c>
      <c r="C37" s="81" t="s">
        <v>32</v>
      </c>
      <c r="D37" s="108">
        <f>SUM(J37)</f>
        <v>48440782</v>
      </c>
      <c r="E37" s="92" t="s">
        <v>91</v>
      </c>
      <c r="F37" s="151">
        <f>SUM(F38)</f>
        <v>3316800</v>
      </c>
      <c r="G37" s="151">
        <f>SUM(G38)</f>
        <v>0</v>
      </c>
      <c r="H37" s="151">
        <f t="shared" ref="H37:J37" si="5">SUM(H38)</f>
        <v>0</v>
      </c>
      <c r="I37" s="151">
        <f t="shared" si="5"/>
        <v>45123982</v>
      </c>
      <c r="J37" s="151">
        <f t="shared" si="5"/>
        <v>48440782</v>
      </c>
      <c r="K37" s="110"/>
    </row>
    <row r="38" spans="1:11" ht="16.5" customHeight="1">
      <c r="A38" s="79"/>
      <c r="B38" s="85"/>
      <c r="C38" s="86"/>
      <c r="D38" s="101"/>
      <c r="E38" s="93" t="s">
        <v>64</v>
      </c>
      <c r="F38" s="152">
        <v>3316800</v>
      </c>
      <c r="G38" s="152"/>
      <c r="H38" s="152"/>
      <c r="I38" s="154">
        <f t="shared" ref="I38" si="6">J38-SUM(F38,G38,H38)</f>
        <v>45123982</v>
      </c>
      <c r="J38" s="152">
        <v>48440782</v>
      </c>
      <c r="K38" s="109" t="s">
        <v>130</v>
      </c>
    </row>
    <row r="39" spans="1:11" ht="16.5" customHeight="1">
      <c r="A39" s="79"/>
      <c r="B39" s="89" t="s">
        <v>21</v>
      </c>
      <c r="C39" s="83" t="s">
        <v>33</v>
      </c>
      <c r="D39" s="107">
        <f>SUM(J39)</f>
        <v>71297256</v>
      </c>
      <c r="E39" s="92" t="s">
        <v>91</v>
      </c>
      <c r="F39" s="151">
        <f>SUM(F40:F41)</f>
        <v>9128649</v>
      </c>
      <c r="G39" s="151">
        <f t="shared" ref="G39:J39" si="7">SUM(G40:G41)</f>
        <v>0</v>
      </c>
      <c r="H39" s="151">
        <f t="shared" si="7"/>
        <v>0</v>
      </c>
      <c r="I39" s="151">
        <f t="shared" si="7"/>
        <v>62168607</v>
      </c>
      <c r="J39" s="151">
        <f t="shared" si="7"/>
        <v>71297256</v>
      </c>
      <c r="K39" s="110"/>
    </row>
    <row r="40" spans="1:11" ht="16.5" customHeight="1">
      <c r="A40" s="79"/>
      <c r="B40" s="82"/>
      <c r="C40" s="83" t="s">
        <v>67</v>
      </c>
      <c r="D40" s="100"/>
      <c r="E40" s="93" t="s">
        <v>65</v>
      </c>
      <c r="F40" s="152"/>
      <c r="G40" s="152"/>
      <c r="H40" s="152"/>
      <c r="I40" s="154">
        <f t="shared" ref="I40:I54" si="8">J40-SUM(F40,G40,H40)</f>
        <v>55066724</v>
      </c>
      <c r="J40" s="152">
        <v>55066724</v>
      </c>
      <c r="K40" s="109" t="s">
        <v>130</v>
      </c>
    </row>
    <row r="41" spans="1:11" ht="16.5" customHeight="1">
      <c r="A41" s="84"/>
      <c r="B41" s="85"/>
      <c r="C41" s="86"/>
      <c r="D41" s="101"/>
      <c r="E41" s="93" t="s">
        <v>66</v>
      </c>
      <c r="F41" s="152">
        <v>9128649</v>
      </c>
      <c r="G41" s="152"/>
      <c r="H41" s="152"/>
      <c r="I41" s="151">
        <f t="shared" si="8"/>
        <v>7101883</v>
      </c>
      <c r="J41" s="152">
        <v>16230532</v>
      </c>
      <c r="K41" s="109" t="s">
        <v>130</v>
      </c>
    </row>
    <row r="42" spans="1:11" ht="16.5" customHeight="1">
      <c r="A42" s="123" t="s">
        <v>18</v>
      </c>
      <c r="B42" s="103"/>
      <c r="C42" s="127"/>
      <c r="D42" s="128">
        <f>SUM(D43,D47,D50)</f>
        <v>25007964</v>
      </c>
      <c r="E42" s="126" t="s">
        <v>90</v>
      </c>
      <c r="F42" s="155">
        <f>SUM(F43,F47,F50)</f>
        <v>3186000</v>
      </c>
      <c r="G42" s="155">
        <f>SUM(G43,G47,G50)</f>
        <v>3900000</v>
      </c>
      <c r="H42" s="155">
        <f>SUM(H43,H47,H50)</f>
        <v>3767290</v>
      </c>
      <c r="I42" s="155">
        <f>SUM(I43,I47,I50)</f>
        <v>14154674</v>
      </c>
      <c r="J42" s="155">
        <f>SUM(J43,J47,J50)</f>
        <v>25007964</v>
      </c>
      <c r="K42" s="110"/>
    </row>
    <row r="43" spans="1:11" ht="16.5" customHeight="1">
      <c r="A43" s="90"/>
      <c r="B43" s="80" t="s">
        <v>34</v>
      </c>
      <c r="C43" s="87" t="s">
        <v>37</v>
      </c>
      <c r="D43" s="106">
        <f>SUM(J43)</f>
        <v>7839306</v>
      </c>
      <c r="E43" s="92" t="s">
        <v>91</v>
      </c>
      <c r="F43" s="151">
        <f>SUM(F44:F46)</f>
        <v>1398000</v>
      </c>
      <c r="G43" s="151">
        <f t="shared" ref="G43:H43" si="9">SUM(G44:G46)</f>
        <v>3900000</v>
      </c>
      <c r="H43" s="151">
        <f t="shared" si="9"/>
        <v>0</v>
      </c>
      <c r="I43" s="151">
        <f>SUM(I44:I46)</f>
        <v>2541306</v>
      </c>
      <c r="J43" s="151">
        <f>SUM(J44:J46)</f>
        <v>7839306</v>
      </c>
      <c r="K43" s="110"/>
    </row>
    <row r="44" spans="1:11" ht="16.5" customHeight="1">
      <c r="A44" s="79"/>
      <c r="B44" s="91"/>
      <c r="C44" s="83" t="s">
        <v>110</v>
      </c>
      <c r="D44" s="100"/>
      <c r="E44" s="94" t="s">
        <v>78</v>
      </c>
      <c r="F44" s="152">
        <v>225000</v>
      </c>
      <c r="G44" s="152"/>
      <c r="H44" s="152"/>
      <c r="I44" s="154">
        <f t="shared" si="8"/>
        <v>324147</v>
      </c>
      <c r="J44" s="152">
        <v>549147</v>
      </c>
      <c r="K44" s="109" t="s">
        <v>130</v>
      </c>
    </row>
    <row r="45" spans="1:11" ht="16.5" customHeight="1">
      <c r="A45" s="79"/>
      <c r="B45" s="91"/>
      <c r="C45" s="83" t="s">
        <v>73</v>
      </c>
      <c r="D45" s="100"/>
      <c r="E45" s="94" t="s">
        <v>109</v>
      </c>
      <c r="F45" s="152">
        <v>1173000</v>
      </c>
      <c r="G45" s="152">
        <v>3900000</v>
      </c>
      <c r="H45" s="152"/>
      <c r="I45" s="154">
        <f t="shared" si="8"/>
        <v>2217159</v>
      </c>
      <c r="J45" s="152">
        <v>7290159</v>
      </c>
      <c r="K45" s="109" t="s">
        <v>130</v>
      </c>
    </row>
    <row r="46" spans="1:11" ht="16.5" customHeight="1">
      <c r="A46" s="79"/>
      <c r="B46" s="82"/>
      <c r="C46" s="83"/>
      <c r="D46" s="100"/>
      <c r="E46" s="94" t="s">
        <v>80</v>
      </c>
      <c r="F46" s="152"/>
      <c r="G46" s="152"/>
      <c r="H46" s="152"/>
      <c r="I46" s="154">
        <f t="shared" si="8"/>
        <v>0</v>
      </c>
      <c r="J46" s="152">
        <v>0</v>
      </c>
      <c r="K46" s="109" t="s">
        <v>130</v>
      </c>
    </row>
    <row r="47" spans="1:11" ht="16.5" customHeight="1">
      <c r="A47" s="79"/>
      <c r="B47" s="80" t="s">
        <v>26</v>
      </c>
      <c r="C47" s="87" t="s">
        <v>35</v>
      </c>
      <c r="D47" s="106">
        <f>SUM(J47)</f>
        <v>7074406</v>
      </c>
      <c r="E47" s="92" t="s">
        <v>91</v>
      </c>
      <c r="F47" s="151">
        <f>SUM(F48:F49)</f>
        <v>5000</v>
      </c>
      <c r="G47" s="151">
        <f t="shared" ref="G47:J47" si="10">SUM(G48:G49)</f>
        <v>0</v>
      </c>
      <c r="H47" s="151">
        <f t="shared" si="10"/>
        <v>0</v>
      </c>
      <c r="I47" s="151">
        <f t="shared" si="10"/>
        <v>7069406</v>
      </c>
      <c r="J47" s="151">
        <f t="shared" si="10"/>
        <v>7074406</v>
      </c>
      <c r="K47" s="110"/>
    </row>
    <row r="48" spans="1:11" ht="16.5" customHeight="1">
      <c r="A48" s="79"/>
      <c r="B48" s="82"/>
      <c r="C48" s="83" t="s">
        <v>74</v>
      </c>
      <c r="D48" s="100"/>
      <c r="E48" s="94" t="s">
        <v>81</v>
      </c>
      <c r="F48" s="152">
        <v>5000</v>
      </c>
      <c r="G48" s="152"/>
      <c r="H48" s="152"/>
      <c r="I48" s="154">
        <f t="shared" si="8"/>
        <v>299075</v>
      </c>
      <c r="J48" s="152">
        <v>304075</v>
      </c>
      <c r="K48" s="109" t="s">
        <v>130</v>
      </c>
    </row>
    <row r="49" spans="1:11" ht="16.5" customHeight="1">
      <c r="A49" s="79"/>
      <c r="B49" s="85"/>
      <c r="C49" s="86"/>
      <c r="D49" s="101"/>
      <c r="E49" s="94" t="s">
        <v>82</v>
      </c>
      <c r="F49" s="152"/>
      <c r="G49" s="152"/>
      <c r="H49" s="152"/>
      <c r="I49" s="154">
        <f t="shared" si="8"/>
        <v>6770331</v>
      </c>
      <c r="J49" s="152">
        <v>6770331</v>
      </c>
      <c r="K49" s="109" t="s">
        <v>130</v>
      </c>
    </row>
    <row r="50" spans="1:11" ht="16.5" customHeight="1">
      <c r="A50" s="79"/>
      <c r="B50" s="89" t="s">
        <v>27</v>
      </c>
      <c r="C50" s="104" t="s">
        <v>36</v>
      </c>
      <c r="D50" s="107">
        <f>SUM(J50)</f>
        <v>10094252</v>
      </c>
      <c r="E50" s="92" t="s">
        <v>91</v>
      </c>
      <c r="F50" s="151">
        <f>SUM(F51:F54)</f>
        <v>1783000</v>
      </c>
      <c r="G50" s="151">
        <f t="shared" ref="G50:J50" si="11">SUM(G51:G54)</f>
        <v>0</v>
      </c>
      <c r="H50" s="151">
        <f t="shared" si="11"/>
        <v>3767290</v>
      </c>
      <c r="I50" s="151">
        <f t="shared" si="11"/>
        <v>4543962</v>
      </c>
      <c r="J50" s="151">
        <f t="shared" si="11"/>
        <v>10094252</v>
      </c>
      <c r="K50" s="110"/>
    </row>
    <row r="51" spans="1:11" ht="16.5" customHeight="1">
      <c r="A51" s="79"/>
      <c r="B51" s="82"/>
      <c r="C51" s="104" t="s">
        <v>75</v>
      </c>
      <c r="D51" s="100"/>
      <c r="E51" s="94" t="s">
        <v>83</v>
      </c>
      <c r="F51" s="152">
        <v>6000</v>
      </c>
      <c r="G51" s="152"/>
      <c r="H51" s="152">
        <v>294760</v>
      </c>
      <c r="I51" s="154">
        <f t="shared" si="8"/>
        <v>1992474</v>
      </c>
      <c r="J51" s="152">
        <v>2293234</v>
      </c>
      <c r="K51" s="109" t="s">
        <v>130</v>
      </c>
    </row>
    <row r="52" spans="1:11" ht="16.5" customHeight="1">
      <c r="A52" s="79"/>
      <c r="B52" s="82"/>
      <c r="C52" s="83" t="s">
        <v>76</v>
      </c>
      <c r="D52" s="100"/>
      <c r="E52" s="94" t="s">
        <v>84</v>
      </c>
      <c r="F52" s="152">
        <v>474000</v>
      </c>
      <c r="G52" s="152"/>
      <c r="H52" s="152"/>
      <c r="I52" s="154">
        <f t="shared" si="8"/>
        <v>1533396</v>
      </c>
      <c r="J52" s="152">
        <v>2007396</v>
      </c>
      <c r="K52" s="109" t="s">
        <v>130</v>
      </c>
    </row>
    <row r="53" spans="1:11" ht="16.5" customHeight="1">
      <c r="A53" s="79"/>
      <c r="B53" s="82"/>
      <c r="C53" s="83" t="s">
        <v>77</v>
      </c>
      <c r="D53" s="100"/>
      <c r="E53" s="94" t="s">
        <v>85</v>
      </c>
      <c r="F53" s="152">
        <v>1303000</v>
      </c>
      <c r="G53" s="152"/>
      <c r="H53" s="152">
        <v>3218065</v>
      </c>
      <c r="I53" s="154">
        <f t="shared" si="8"/>
        <v>922757</v>
      </c>
      <c r="J53" s="152">
        <v>5443822</v>
      </c>
      <c r="K53" s="109" t="s">
        <v>130</v>
      </c>
    </row>
    <row r="54" spans="1:11" ht="16.5" customHeight="1">
      <c r="A54" s="84"/>
      <c r="B54" s="85"/>
      <c r="C54" s="86"/>
      <c r="D54" s="101"/>
      <c r="E54" s="94" t="s">
        <v>86</v>
      </c>
      <c r="F54" s="152"/>
      <c r="G54" s="152"/>
      <c r="H54" s="152">
        <v>254465</v>
      </c>
      <c r="I54" s="151">
        <f t="shared" si="8"/>
        <v>95335</v>
      </c>
      <c r="J54" s="152">
        <v>349800</v>
      </c>
      <c r="K54" s="109" t="s">
        <v>130</v>
      </c>
    </row>
    <row r="55" spans="1:11" ht="16.5" customHeight="1">
      <c r="A55" s="142" t="s">
        <v>234</v>
      </c>
      <c r="B55" s="141" t="s">
        <v>15</v>
      </c>
      <c r="C55" s="142" t="s">
        <v>234</v>
      </c>
      <c r="D55" s="105">
        <f>SUM(D5,D34,D42)</f>
        <v>569894126</v>
      </c>
      <c r="E55" s="142" t="s">
        <v>234</v>
      </c>
      <c r="F55" s="156">
        <f>SUM(F5,F34,F42)</f>
        <v>221481209</v>
      </c>
      <c r="G55" s="156">
        <f>SUM(G5,G34,G42)</f>
        <v>11400000</v>
      </c>
      <c r="H55" s="156">
        <f>SUM(H5,H34,H42)</f>
        <v>39465635</v>
      </c>
      <c r="I55" s="156">
        <f>SUM(I5,I34,I42)</f>
        <v>297547282</v>
      </c>
      <c r="J55" s="156">
        <f>SUM(J5,J34,J42)</f>
        <v>569894126</v>
      </c>
      <c r="K55" s="110"/>
    </row>
    <row r="56" spans="1:11" ht="16.5" customHeight="1">
      <c r="D56" s="158">
        <f>ROUND(D$55,-3)/1000</f>
        <v>569894</v>
      </c>
      <c r="F56" s="158">
        <f t="shared" ref="F56:I56" si="12">ROUND(F$55,-3)/1000</f>
        <v>221481</v>
      </c>
      <c r="G56" s="158">
        <f t="shared" si="12"/>
        <v>11400</v>
      </c>
      <c r="H56" s="158">
        <f t="shared" si="12"/>
        <v>39466</v>
      </c>
      <c r="I56" s="158">
        <f t="shared" si="12"/>
        <v>297547</v>
      </c>
    </row>
  </sheetData>
  <phoneticPr fontId="2"/>
  <dataValidations count="2">
    <dataValidation imeMode="off" allowBlank="1" sqref="A2:B2 A1:XFD1 F5:J55 A56:XFD56"/>
    <dataValidation imeMode="hiragana" allowBlank="1" sqref="A55:C55 E55"/>
  </dataValidations>
  <printOptions horizontalCentered="1"/>
  <pageMargins left="0.70866141732283472" right="0.51181102362204722" top="0.86614173228346458" bottom="0.47244094488188981" header="0" footer="0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"/>
  <sheetViews>
    <sheetView workbookViewId="0">
      <selection activeCell="F24" sqref="F24"/>
    </sheetView>
  </sheetViews>
  <sheetFormatPr defaultRowHeight="13.5"/>
  <sheetData/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27"/>
  <sheetViews>
    <sheetView showGridLines="0" view="pageBreakPreview" topLeftCell="B1" zoomScale="70" zoomScaleNormal="70" zoomScaleSheetLayoutView="70" workbookViewId="0">
      <selection activeCell="E12" sqref="E12"/>
    </sheetView>
  </sheetViews>
  <sheetFormatPr defaultRowHeight="29.25" customHeight="1"/>
  <cols>
    <col min="1" max="1" width="9.625" style="11" customWidth="1"/>
    <col min="2" max="8" width="19.25" style="1" customWidth="1"/>
    <col min="9" max="9" width="26.625" style="1" customWidth="1"/>
    <col min="10" max="10" width="19.25" style="1" customWidth="1"/>
    <col min="11" max="12" width="5.25" style="1" customWidth="1"/>
    <col min="13" max="15" width="15.75" style="1" customWidth="1"/>
    <col min="16" max="16" width="21.5" style="1" customWidth="1"/>
    <col min="17" max="16384" width="9" style="1"/>
  </cols>
  <sheetData>
    <row r="1" spans="1:16" ht="23.25" customHeight="1">
      <c r="B1" s="162" t="s">
        <v>125</v>
      </c>
      <c r="C1" s="162"/>
      <c r="D1" s="162"/>
      <c r="E1" s="162"/>
      <c r="F1" s="162"/>
      <c r="G1" s="162"/>
      <c r="H1" s="162"/>
      <c r="I1" s="162"/>
      <c r="J1" s="162"/>
    </row>
    <row r="2" spans="1:16" ht="23.25" customHeight="1">
      <c r="A2" s="12"/>
      <c r="B2" s="162"/>
      <c r="C2" s="162"/>
      <c r="D2" s="162"/>
      <c r="E2" s="162"/>
      <c r="F2" s="162"/>
      <c r="G2" s="162"/>
      <c r="H2" s="162"/>
      <c r="I2" s="162"/>
      <c r="J2" s="162"/>
    </row>
    <row r="3" spans="1:16" ht="23.25" customHeight="1"/>
    <row r="4" spans="1:16" s="7" customFormat="1" ht="23.25" customHeight="1">
      <c r="A4" s="11"/>
      <c r="B4" s="5" t="s">
        <v>0</v>
      </c>
      <c r="C4" s="6" t="s">
        <v>1</v>
      </c>
      <c r="D4" s="6"/>
      <c r="E4" s="6"/>
      <c r="F4" s="6"/>
      <c r="I4" s="4">
        <v>41073</v>
      </c>
    </row>
    <row r="5" spans="1:16" ht="23.25" customHeight="1">
      <c r="B5" s="2"/>
      <c r="C5" s="3"/>
      <c r="D5" s="3"/>
      <c r="E5" s="3"/>
      <c r="F5" s="3"/>
    </row>
    <row r="6" spans="1:16" s="7" customFormat="1" ht="23.25" customHeight="1">
      <c r="A6" s="11"/>
      <c r="B6" s="5" t="s">
        <v>2</v>
      </c>
      <c r="C6" s="6" t="s">
        <v>3</v>
      </c>
      <c r="D6" s="6"/>
      <c r="E6" s="6"/>
      <c r="F6" s="6"/>
      <c r="I6" s="4">
        <f>ROUND('R06決算内訳'!D54,-3)/1000</f>
        <v>528639</v>
      </c>
    </row>
    <row r="7" spans="1:16" ht="23.25" customHeight="1"/>
    <row r="8" spans="1:16" ht="29.25" customHeight="1">
      <c r="B8" s="7" t="s">
        <v>4</v>
      </c>
      <c r="E8" s="72" t="str">
        <f>IF(E24=I6,"","☟調整必要")</f>
        <v/>
      </c>
      <c r="F8" s="72" t="str">
        <f>IF(F27=F15+F19+F23,"","☟調整必要")</f>
        <v/>
      </c>
      <c r="G8" s="72" t="str">
        <f t="shared" ref="G8" si="0">IF(G27=G15+G19+G23,"","☟調整必要")</f>
        <v/>
      </c>
      <c r="H8" s="72" t="str">
        <f>IF(H27=H15+H19+H23,"","☟調整必要")</f>
        <v/>
      </c>
      <c r="I8" s="72" t="str">
        <f>IF(I24=I4,"","☟調整必要")</f>
        <v/>
      </c>
      <c r="J8" s="8" t="s">
        <v>14</v>
      </c>
    </row>
    <row r="9" spans="1:16" s="7" customFormat="1" ht="29.25" customHeight="1">
      <c r="A9" s="11"/>
      <c r="B9" s="160" t="s">
        <v>5</v>
      </c>
      <c r="C9" s="160" t="s">
        <v>6</v>
      </c>
      <c r="D9" s="160"/>
      <c r="E9" s="163" t="s">
        <v>129</v>
      </c>
      <c r="F9" s="160" t="s">
        <v>13</v>
      </c>
      <c r="G9" s="160"/>
      <c r="H9" s="160"/>
      <c r="I9" s="160"/>
      <c r="J9" s="160"/>
    </row>
    <row r="10" spans="1:16" s="7" customFormat="1" ht="29.25" customHeight="1">
      <c r="A10" s="11"/>
      <c r="B10" s="160"/>
      <c r="C10" s="160"/>
      <c r="D10" s="160"/>
      <c r="E10" s="160"/>
      <c r="F10" s="160" t="s">
        <v>10</v>
      </c>
      <c r="G10" s="160"/>
      <c r="H10" s="160"/>
      <c r="I10" s="160" t="s">
        <v>11</v>
      </c>
      <c r="J10" s="160"/>
    </row>
    <row r="11" spans="1:16" s="7" customFormat="1" ht="41.25" customHeight="1">
      <c r="A11" s="11"/>
      <c r="B11" s="160"/>
      <c r="C11" s="160"/>
      <c r="D11" s="160"/>
      <c r="E11" s="160"/>
      <c r="F11" s="73" t="s">
        <v>7</v>
      </c>
      <c r="G11" s="73" t="s">
        <v>8</v>
      </c>
      <c r="H11" s="73" t="s">
        <v>9</v>
      </c>
      <c r="I11" s="61" t="s">
        <v>12</v>
      </c>
      <c r="J11" s="73" t="s">
        <v>9</v>
      </c>
      <c r="M11" s="10" t="s">
        <v>29</v>
      </c>
      <c r="N11" s="10" t="s">
        <v>29</v>
      </c>
    </row>
    <row r="12" spans="1:16" s="7" customFormat="1" ht="29.25" customHeight="1">
      <c r="A12" s="11"/>
      <c r="B12" s="160" t="s">
        <v>16</v>
      </c>
      <c r="C12" s="161" t="s">
        <v>28</v>
      </c>
      <c r="D12" s="161"/>
      <c r="E12" s="59">
        <f>ROUND('R06決算内訳'!D5,-3)/1000</f>
        <v>191902</v>
      </c>
      <c r="F12" s="59">
        <f>ROUND('R06決算内訳'!F5,-3)/1000</f>
        <v>139588</v>
      </c>
      <c r="G12" s="59">
        <f>ROUND('R06決算内訳'!G5,-3)/1000</f>
        <v>0</v>
      </c>
      <c r="H12" s="59">
        <f>ROUND('R06決算内訳'!H5,-3)/1000</f>
        <v>416</v>
      </c>
      <c r="I12" s="60">
        <f>ROUND(I4/M24*M12,0)</f>
        <v>7039</v>
      </c>
      <c r="J12" s="59">
        <f>E12-(F12+G12+H12+I12)</f>
        <v>44859</v>
      </c>
      <c r="M12" s="9">
        <f>E12-(SUM(F12,G12,H12))</f>
        <v>51898</v>
      </c>
      <c r="N12" s="9">
        <f>I12+J12</f>
        <v>51898</v>
      </c>
      <c r="O12" s="9">
        <f>M12-N12</f>
        <v>0</v>
      </c>
      <c r="P12" s="7">
        <f>M12/M24*I24</f>
        <v>7039.1868238557554</v>
      </c>
    </row>
    <row r="13" spans="1:16" s="7" customFormat="1" ht="29.25" customHeight="1">
      <c r="A13" s="11"/>
      <c r="B13" s="160"/>
      <c r="C13" s="161" t="s">
        <v>24</v>
      </c>
      <c r="D13" s="161"/>
      <c r="E13" s="59">
        <f>ROUND('R06決算内訳'!D11,-3)/1000</f>
        <v>54776</v>
      </c>
      <c r="F13" s="59">
        <f>ROUND('R06決算内訳'!F11,-3)/1000</f>
        <v>151</v>
      </c>
      <c r="G13" s="59">
        <f>ROUND('R06決算内訳'!G11,-3)/1000</f>
        <v>1300</v>
      </c>
      <c r="H13" s="59">
        <f>ROUND('R06決算内訳'!H11,-3)/1000</f>
        <v>606</v>
      </c>
      <c r="I13" s="60">
        <f>ROUND(I4/M24*M13,0)</f>
        <v>7151</v>
      </c>
      <c r="J13" s="59">
        <f>E13-(F13+G13+H13+I13)</f>
        <v>45568</v>
      </c>
      <c r="M13" s="9">
        <f t="shared" ref="M13:M23" si="1">E13-(SUM(F13,G13,H13))</f>
        <v>52719</v>
      </c>
      <c r="N13" s="9">
        <f t="shared" ref="N13:N23" si="2">I13+J13</f>
        <v>52719</v>
      </c>
      <c r="O13" s="9">
        <f t="shared" ref="O13:O24" si="3">M13-N13</f>
        <v>0</v>
      </c>
      <c r="P13" s="7">
        <f>M13/M24*I24</f>
        <v>7150.5431840697438</v>
      </c>
    </row>
    <row r="14" spans="1:16" s="7" customFormat="1" ht="29.25" customHeight="1">
      <c r="A14" s="11"/>
      <c r="B14" s="160"/>
      <c r="C14" s="161" t="s">
        <v>25</v>
      </c>
      <c r="D14" s="161"/>
      <c r="E14" s="59">
        <f>ROUND('R06決算内訳'!D24,-3)/1000</f>
        <v>121863</v>
      </c>
      <c r="F14" s="59">
        <f>ROUND('R06決算内訳'!F24,-3)/1000</f>
        <v>34689</v>
      </c>
      <c r="G14" s="59">
        <f>ROUND('R06決算内訳'!G24,-3)/1000</f>
        <v>0</v>
      </c>
      <c r="H14" s="59">
        <f>ROUND('R06決算内訳'!H24,-3)/1000</f>
        <v>10156</v>
      </c>
      <c r="I14" s="60">
        <f>ROUND(I4/M24*M14,0)-1</f>
        <v>10445</v>
      </c>
      <c r="J14" s="59">
        <f t="shared" ref="J14" si="4">E14-(F14+G14+H14+I14)</f>
        <v>66573</v>
      </c>
      <c r="M14" s="9">
        <f t="shared" si="1"/>
        <v>77018</v>
      </c>
      <c r="N14" s="9">
        <f t="shared" si="2"/>
        <v>77018</v>
      </c>
      <c r="O14" s="9">
        <f t="shared" si="3"/>
        <v>0</v>
      </c>
      <c r="P14" s="7">
        <f>M14/M24*I24</f>
        <v>10446.338795323954</v>
      </c>
    </row>
    <row r="15" spans="1:16" s="7" customFormat="1" ht="29.25" customHeight="1">
      <c r="A15" s="11"/>
      <c r="B15" s="160"/>
      <c r="C15" s="160" t="s">
        <v>105</v>
      </c>
      <c r="D15" s="160"/>
      <c r="E15" s="59">
        <f t="shared" ref="E15:H15" si="5">SUBTOTAL(9,E12:E14)</f>
        <v>368541</v>
      </c>
      <c r="F15" s="59">
        <f t="shared" si="5"/>
        <v>174428</v>
      </c>
      <c r="G15" s="59">
        <f t="shared" si="5"/>
        <v>1300</v>
      </c>
      <c r="H15" s="59">
        <f t="shared" si="5"/>
        <v>11178</v>
      </c>
      <c r="I15" s="60">
        <f>SUBTOTAL(9,I12:I14)</f>
        <v>24635</v>
      </c>
      <c r="J15" s="59">
        <f>SUBTOTAL(9,J12:J14)</f>
        <v>157000</v>
      </c>
      <c r="M15" s="9">
        <f t="shared" si="1"/>
        <v>181635</v>
      </c>
      <c r="N15" s="9">
        <f t="shared" si="2"/>
        <v>181635</v>
      </c>
      <c r="O15" s="9">
        <f t="shared" si="3"/>
        <v>0</v>
      </c>
      <c r="P15" s="7">
        <f>M15/M24*I24</f>
        <v>24636.068803249455</v>
      </c>
    </row>
    <row r="16" spans="1:16" s="7" customFormat="1" ht="29.25" customHeight="1">
      <c r="A16" s="11"/>
      <c r="B16" s="160" t="s">
        <v>17</v>
      </c>
      <c r="C16" s="161" t="s">
        <v>19</v>
      </c>
      <c r="D16" s="161"/>
      <c r="E16" s="59">
        <f>ROUND('R06決算内訳'!D34,-3)/1000</f>
        <v>26262</v>
      </c>
      <c r="F16" s="59">
        <f>ROUND('R06決算内訳'!F34,-3)/1000</f>
        <v>14395</v>
      </c>
      <c r="G16" s="59">
        <f>ROUND('R06決算内訳'!G34,-3)/1000</f>
        <v>0</v>
      </c>
      <c r="H16" s="59">
        <f>ROUND('R06決算内訳'!H34,-3)/1000</f>
        <v>0</v>
      </c>
      <c r="I16" s="60">
        <f>ROUND(I4/M24*M16,0)</f>
        <v>1610</v>
      </c>
      <c r="J16" s="59">
        <f>E16-(F16+G16+H16+I16)</f>
        <v>10257</v>
      </c>
      <c r="M16" s="9">
        <f t="shared" si="1"/>
        <v>11867</v>
      </c>
      <c r="N16" s="9">
        <f t="shared" si="2"/>
        <v>11867</v>
      </c>
      <c r="O16" s="9">
        <f t="shared" si="3"/>
        <v>0</v>
      </c>
      <c r="P16" s="7">
        <f>M16/M24*I24</f>
        <v>1609.5809094511592</v>
      </c>
    </row>
    <row r="17" spans="1:16" s="7" customFormat="1" ht="29.25" customHeight="1">
      <c r="A17" s="11"/>
      <c r="B17" s="160"/>
      <c r="C17" s="161" t="s">
        <v>20</v>
      </c>
      <c r="D17" s="161"/>
      <c r="E17" s="59">
        <f>ROUND('R06決算内訳'!D36,-3)/1000-1</f>
        <v>52493</v>
      </c>
      <c r="F17" s="59">
        <f>ROUND('R06決算内訳'!F36,-3)/1000</f>
        <v>3600</v>
      </c>
      <c r="G17" s="59">
        <f>ROUND('R06決算内訳'!G36,-3)/1000</f>
        <v>0</v>
      </c>
      <c r="H17" s="59">
        <f>ROUND('R06決算内訳'!H36,-3)/1000</f>
        <v>0</v>
      </c>
      <c r="I17" s="60">
        <f>ROUND(I4/M24*M17,0)</f>
        <v>6632</v>
      </c>
      <c r="J17" s="59">
        <f t="shared" ref="J17:J18" si="6">E17-(F17+G17+H17+I17)</f>
        <v>42261</v>
      </c>
      <c r="M17" s="9">
        <f t="shared" si="1"/>
        <v>48893</v>
      </c>
      <c r="N17" s="9">
        <f t="shared" si="2"/>
        <v>48893</v>
      </c>
      <c r="O17" s="9">
        <f t="shared" si="3"/>
        <v>0</v>
      </c>
      <c r="P17" s="7">
        <f>M17/M24*I24</f>
        <v>6631.6035565682578</v>
      </c>
    </row>
    <row r="18" spans="1:16" s="7" customFormat="1" ht="29.25" customHeight="1">
      <c r="A18" s="11"/>
      <c r="B18" s="160"/>
      <c r="C18" s="161" t="s">
        <v>21</v>
      </c>
      <c r="D18" s="161"/>
      <c r="E18" s="59">
        <f>ROUND('R06決算内訳'!D38,-3)/1000</f>
        <v>56175</v>
      </c>
      <c r="F18" s="59">
        <f>ROUND('R06決算内訳'!F38,-3)/1000</f>
        <v>9581</v>
      </c>
      <c r="G18" s="59">
        <f>ROUND('R06決算内訳'!G38,-3)/1000</f>
        <v>0</v>
      </c>
      <c r="H18" s="59">
        <f>ROUND('R06決算内訳'!H38,-3)/1000</f>
        <v>0</v>
      </c>
      <c r="I18" s="60">
        <f>ROUND(I4/M24*M18,0)</f>
        <v>6320</v>
      </c>
      <c r="J18" s="59">
        <f t="shared" si="6"/>
        <v>40274</v>
      </c>
      <c r="M18" s="9">
        <f t="shared" si="1"/>
        <v>46594</v>
      </c>
      <c r="N18" s="9">
        <f>I18+J18</f>
        <v>46594</v>
      </c>
      <c r="O18" s="9">
        <f t="shared" si="3"/>
        <v>0</v>
      </c>
      <c r="P18" s="7">
        <f>M18/M24*I24</f>
        <v>6319.7786209629485</v>
      </c>
    </row>
    <row r="19" spans="1:16" s="7" customFormat="1" ht="29.25" customHeight="1">
      <c r="A19" s="11"/>
      <c r="B19" s="160"/>
      <c r="C19" s="160" t="s">
        <v>105</v>
      </c>
      <c r="D19" s="160"/>
      <c r="E19" s="59">
        <f t="shared" ref="E19:H19" si="7">SUBTOTAL(9,E16:E18)</f>
        <v>134930</v>
      </c>
      <c r="F19" s="59">
        <f t="shared" si="7"/>
        <v>27576</v>
      </c>
      <c r="G19" s="59">
        <f t="shared" si="7"/>
        <v>0</v>
      </c>
      <c r="H19" s="59">
        <f t="shared" si="7"/>
        <v>0</v>
      </c>
      <c r="I19" s="60">
        <f>SUBTOTAL(9,I16:I18)</f>
        <v>14562</v>
      </c>
      <c r="J19" s="59">
        <f>SUBTOTAL(9,J16:J18)</f>
        <v>92792</v>
      </c>
      <c r="M19" s="9">
        <f t="shared" si="1"/>
        <v>107354</v>
      </c>
      <c r="N19" s="9">
        <f t="shared" si="2"/>
        <v>107354</v>
      </c>
      <c r="O19" s="9">
        <f t="shared" si="3"/>
        <v>0</v>
      </c>
      <c r="P19" s="7">
        <f>M19/M24*I24</f>
        <v>14560.963086982367</v>
      </c>
    </row>
    <row r="20" spans="1:16" s="7" customFormat="1" ht="29.25" customHeight="1">
      <c r="A20" s="11"/>
      <c r="B20" s="160" t="s">
        <v>18</v>
      </c>
      <c r="C20" s="161" t="s">
        <v>23</v>
      </c>
      <c r="D20" s="161"/>
      <c r="E20" s="59">
        <f>ROUND('R06決算内訳'!D42,-3)/1000</f>
        <v>8416</v>
      </c>
      <c r="F20" s="59">
        <f>ROUND('R06決算内訳'!F42,-3)/1000</f>
        <v>1656</v>
      </c>
      <c r="G20" s="59">
        <f>ROUND('R06決算内訳'!G42,-3)/1000</f>
        <v>3900</v>
      </c>
      <c r="H20" s="59">
        <f>ROUND('R06決算内訳'!H42,-3)/1000</f>
        <v>88</v>
      </c>
      <c r="I20" s="60">
        <f>ROUND(I4/M24*M20,0)</f>
        <v>376</v>
      </c>
      <c r="J20" s="59">
        <f>E20-(F20+G20+H20+I20)</f>
        <v>2396</v>
      </c>
      <c r="M20" s="9">
        <f>E20-(SUM(F20,G20,H20))</f>
        <v>2772</v>
      </c>
      <c r="N20" s="9">
        <f t="shared" si="2"/>
        <v>2772</v>
      </c>
      <c r="O20" s="9">
        <f t="shared" si="3"/>
        <v>0</v>
      </c>
      <c r="P20" s="7">
        <f>M20/M24*I24</f>
        <v>375.9803051317615</v>
      </c>
    </row>
    <row r="21" spans="1:16" s="7" customFormat="1" ht="29.25" customHeight="1">
      <c r="A21" s="11"/>
      <c r="B21" s="160"/>
      <c r="C21" s="161" t="s">
        <v>26</v>
      </c>
      <c r="D21" s="161"/>
      <c r="E21" s="59">
        <f>ROUND('R06決算内訳'!D46,-3)/1000</f>
        <v>7628</v>
      </c>
      <c r="F21" s="59">
        <f>ROUND('R06決算内訳'!F46,-3)/1000</f>
        <v>41</v>
      </c>
      <c r="G21" s="59">
        <f>ROUND('R06決算内訳'!G46,-3)/1000</f>
        <v>0</v>
      </c>
      <c r="H21" s="59">
        <f>ROUND('R06決算内訳'!H46,-3)/1000</f>
        <v>1349</v>
      </c>
      <c r="I21" s="60">
        <f>ROUND(I4/M24*M21,0)</f>
        <v>846</v>
      </c>
      <c r="J21" s="59">
        <f>E21-(F21+G21+H21+I21)</f>
        <v>5392</v>
      </c>
      <c r="M21" s="9">
        <f t="shared" si="1"/>
        <v>6238</v>
      </c>
      <c r="N21" s="9">
        <f t="shared" si="2"/>
        <v>6238</v>
      </c>
      <c r="O21" s="9">
        <f t="shared" si="3"/>
        <v>0</v>
      </c>
      <c r="P21" s="7">
        <f>M21/M24*I24</f>
        <v>846.09132157717465</v>
      </c>
    </row>
    <row r="22" spans="1:16" s="7" customFormat="1" ht="29.25" customHeight="1">
      <c r="A22" s="11"/>
      <c r="B22" s="160"/>
      <c r="C22" s="161" t="s">
        <v>27</v>
      </c>
      <c r="D22" s="161"/>
      <c r="E22" s="59">
        <f>ROUND('R06決算内訳'!D49,-3)/1000</f>
        <v>9124</v>
      </c>
      <c r="F22" s="59">
        <f>ROUND('R06決算内訳'!F49,-3)/1000</f>
        <v>699</v>
      </c>
      <c r="G22" s="59">
        <f>ROUND('R06決算内訳'!G49,-3)/1000</f>
        <v>0</v>
      </c>
      <c r="H22" s="59">
        <f>ROUND('R06決算内訳'!H49,-3)/1000</f>
        <v>3604</v>
      </c>
      <c r="I22" s="60">
        <f>ROUND(I4/M24*M22,0)</f>
        <v>654</v>
      </c>
      <c r="J22" s="59">
        <f t="shared" ref="J22" si="8">E22-(F22+G22+H22+I22)</f>
        <v>4167</v>
      </c>
      <c r="M22" s="9">
        <f t="shared" si="1"/>
        <v>4821</v>
      </c>
      <c r="N22" s="9">
        <f t="shared" si="2"/>
        <v>4821</v>
      </c>
      <c r="O22" s="9">
        <f t="shared" si="3"/>
        <v>0</v>
      </c>
      <c r="P22" s="7">
        <f>M22/M24*I24</f>
        <v>653.89648305924322</v>
      </c>
    </row>
    <row r="23" spans="1:16" s="7" customFormat="1" ht="29.25" customHeight="1">
      <c r="A23" s="11"/>
      <c r="B23" s="160"/>
      <c r="C23" s="160" t="s">
        <v>105</v>
      </c>
      <c r="D23" s="160"/>
      <c r="E23" s="59">
        <f t="shared" ref="E23:H23" si="9">SUBTOTAL(9,E20:E22)</f>
        <v>25168</v>
      </c>
      <c r="F23" s="59">
        <f t="shared" si="9"/>
        <v>2396</v>
      </c>
      <c r="G23" s="59">
        <f t="shared" si="9"/>
        <v>3900</v>
      </c>
      <c r="H23" s="59">
        <f t="shared" si="9"/>
        <v>5041</v>
      </c>
      <c r="I23" s="60">
        <f>SUBTOTAL(9,I20:I22)</f>
        <v>1876</v>
      </c>
      <c r="J23" s="59">
        <f>SUBTOTAL(9,J20:J22)</f>
        <v>11955</v>
      </c>
      <c r="M23" s="9">
        <f t="shared" si="1"/>
        <v>13831</v>
      </c>
      <c r="N23" s="9">
        <f t="shared" si="2"/>
        <v>13831</v>
      </c>
      <c r="O23" s="9">
        <f t="shared" si="3"/>
        <v>0</v>
      </c>
      <c r="P23" s="7">
        <f>M23/M24*I24</f>
        <v>1875.9681097681789</v>
      </c>
    </row>
    <row r="24" spans="1:16" s="7" customFormat="1" ht="29.25" customHeight="1">
      <c r="A24" s="11"/>
      <c r="B24" s="160" t="s">
        <v>106</v>
      </c>
      <c r="C24" s="160"/>
      <c r="D24" s="160"/>
      <c r="E24" s="59">
        <f>SUBTOTAL(9,E12:E23)</f>
        <v>528639</v>
      </c>
      <c r="F24" s="59">
        <f>SUBTOTAL(9,F12:F23)</f>
        <v>204400</v>
      </c>
      <c r="G24" s="59">
        <f t="shared" ref="G24:H24" si="10">SUBTOTAL(9,G12:G23)</f>
        <v>5200</v>
      </c>
      <c r="H24" s="59">
        <f t="shared" si="10"/>
        <v>16219</v>
      </c>
      <c r="I24" s="60">
        <f>SUBTOTAL(9,I12:I23)</f>
        <v>41073</v>
      </c>
      <c r="J24" s="59">
        <f>SUBTOTAL(9,J12:J23)</f>
        <v>261747</v>
      </c>
      <c r="M24" s="9">
        <f>E24-(SUM(F24,G24,H24))</f>
        <v>302820</v>
      </c>
      <c r="N24" s="9">
        <f>I24+J24</f>
        <v>302820</v>
      </c>
      <c r="O24" s="9">
        <f t="shared" si="3"/>
        <v>0</v>
      </c>
      <c r="P24" s="7">
        <f>M24/M24*I24</f>
        <v>41073</v>
      </c>
    </row>
    <row r="25" spans="1:16" ht="29.25" customHeight="1">
      <c r="B25" s="7" t="s">
        <v>30</v>
      </c>
      <c r="I25" s="71"/>
    </row>
    <row r="26" spans="1:16" ht="21.75" customHeight="1">
      <c r="I26" s="9"/>
      <c r="J26" s="9"/>
    </row>
    <row r="27" spans="1:16" ht="21.75" customHeight="1">
      <c r="F27" s="59">
        <f>ROUND('R06決算内訳'!F54,-3)/1000</f>
        <v>204400</v>
      </c>
      <c r="G27" s="59">
        <f>ROUND('R06決算内訳'!G54,-3)/1000</f>
        <v>5200</v>
      </c>
      <c r="H27" s="59">
        <f>ROUND('R06決算内訳'!H54,-3)/1000</f>
        <v>16219</v>
      </c>
    </row>
  </sheetData>
  <mergeCells count="23">
    <mergeCell ref="B1:J2"/>
    <mergeCell ref="B9:B11"/>
    <mergeCell ref="C9:D11"/>
    <mergeCell ref="E9:E11"/>
    <mergeCell ref="F9:J9"/>
    <mergeCell ref="F10:H10"/>
    <mergeCell ref="I10:J10"/>
    <mergeCell ref="B24:D24"/>
    <mergeCell ref="B12:B15"/>
    <mergeCell ref="C12:D12"/>
    <mergeCell ref="C13:D13"/>
    <mergeCell ref="C14:D14"/>
    <mergeCell ref="C15:D15"/>
    <mergeCell ref="B16:B19"/>
    <mergeCell ref="C16:D16"/>
    <mergeCell ref="C17:D17"/>
    <mergeCell ref="C18:D18"/>
    <mergeCell ref="C19:D19"/>
    <mergeCell ref="B20:B23"/>
    <mergeCell ref="C20:D20"/>
    <mergeCell ref="C21:D21"/>
    <mergeCell ref="C22:D22"/>
    <mergeCell ref="C23:D23"/>
  </mergeCells>
  <phoneticPr fontId="2"/>
  <conditionalFormatting sqref="I25">
    <cfRule type="containsText" dxfId="11" priority="3" operator="containsText" text="↑調整必要！！">
      <formula>NOT(ISERROR(SEARCH("↑調整必要！！",I25)))</formula>
    </cfRule>
  </conditionalFormatting>
  <conditionalFormatting sqref="E8:I8">
    <cfRule type="containsText" dxfId="10" priority="1" operator="containsText" text="調整">
      <formula>NOT(ISERROR(SEARCH("調整",E8)))</formula>
    </cfRule>
    <cfRule type="containsText" dxfId="9" priority="2" operator="containsText" text="↑調整必要！！">
      <formula>NOT(ISERROR(SEARCH("↑調整必要！！",E8)))</formula>
    </cfRule>
  </conditionalFormatting>
  <pageMargins left="0.19685039370078741" right="0.70866141732283472" top="0.74803149606299213" bottom="0.74803149606299213" header="0.31496062992125984" footer="0.31496062992125984"/>
  <pageSetup paperSize="9" scale="72" fitToHeight="0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4"/>
  <sheetViews>
    <sheetView zoomScale="80" zoomScaleNormal="80" workbookViewId="0">
      <pane ySplit="3" topLeftCell="A4" activePane="bottomLeft" state="frozen"/>
      <selection activeCell="I6" sqref="I6"/>
      <selection pane="bottomLeft" activeCell="D5" sqref="D5"/>
    </sheetView>
  </sheetViews>
  <sheetFormatPr defaultRowHeight="16.5" customHeight="1"/>
  <cols>
    <col min="1" max="1" width="10.75" style="1" customWidth="1"/>
    <col min="2" max="2" width="22.875" style="1" customWidth="1"/>
    <col min="3" max="3" width="40.625" style="14" customWidth="1"/>
    <col min="4" max="4" width="13.75" style="15" customWidth="1"/>
    <col min="5" max="5" width="35.625" style="1" customWidth="1"/>
    <col min="6" max="9" width="13.5" style="15" customWidth="1"/>
    <col min="10" max="10" width="15.75" style="15" customWidth="1"/>
    <col min="11" max="16384" width="9" style="1"/>
  </cols>
  <sheetData>
    <row r="1" spans="1:11" ht="16.5" customHeight="1">
      <c r="A1" s="13" t="s">
        <v>126</v>
      </c>
    </row>
    <row r="2" spans="1:11" ht="16.5" customHeight="1">
      <c r="J2" s="16" t="s">
        <v>87</v>
      </c>
    </row>
    <row r="3" spans="1:11" ht="16.5" customHeight="1">
      <c r="A3" s="17" t="s">
        <v>5</v>
      </c>
      <c r="B3" s="17" t="s">
        <v>6</v>
      </c>
      <c r="C3" s="18" t="s">
        <v>71</v>
      </c>
      <c r="D3" s="19" t="s">
        <v>46</v>
      </c>
      <c r="E3" s="17" t="s">
        <v>6</v>
      </c>
      <c r="F3" s="19" t="s">
        <v>7</v>
      </c>
      <c r="G3" s="19" t="s">
        <v>8</v>
      </c>
      <c r="H3" s="19" t="s">
        <v>9</v>
      </c>
      <c r="I3" s="19" t="s">
        <v>11</v>
      </c>
      <c r="J3" s="20" t="s">
        <v>44</v>
      </c>
    </row>
    <row r="4" spans="1:11" ht="16.5" customHeight="1">
      <c r="A4" s="45" t="s">
        <v>16</v>
      </c>
      <c r="B4" s="46"/>
      <c r="C4" s="47"/>
      <c r="D4" s="42">
        <f>SUM(D5,D11,D24)</f>
        <v>368540784</v>
      </c>
      <c r="E4" s="43" t="s">
        <v>90</v>
      </c>
      <c r="F4" s="42">
        <f>SUM(F5,F11,F24)</f>
        <v>174428023</v>
      </c>
      <c r="G4" s="42">
        <f>SUM(G5,G11,G24)</f>
        <v>1300000</v>
      </c>
      <c r="H4" s="42">
        <f>SUM(H5,H11,H24)</f>
        <v>11177974</v>
      </c>
      <c r="I4" s="42">
        <f>SUM(I5,I11,I24)</f>
        <v>181634787</v>
      </c>
      <c r="J4" s="42">
        <f>SUM(J5,J11,J24)</f>
        <v>368540784</v>
      </c>
      <c r="K4" s="58"/>
    </row>
    <row r="5" spans="1:11" ht="16.5" customHeight="1">
      <c r="A5" s="45"/>
      <c r="B5" s="56" t="s">
        <v>28</v>
      </c>
      <c r="C5" s="32" t="s">
        <v>68</v>
      </c>
      <c r="D5" s="33">
        <f>SUM(J5)</f>
        <v>191902329</v>
      </c>
      <c r="E5" s="55" t="s">
        <v>91</v>
      </c>
      <c r="F5" s="24">
        <f>SUM(F6:F10)</f>
        <v>139587657</v>
      </c>
      <c r="G5" s="24">
        <f>SUM(G6:G10)</f>
        <v>0</v>
      </c>
      <c r="H5" s="24">
        <f>SUM(H6:H10)</f>
        <v>416030</v>
      </c>
      <c r="I5" s="24">
        <f t="shared" ref="I5:J5" si="0">SUM(I6:I10)</f>
        <v>51898642</v>
      </c>
      <c r="J5" s="24">
        <f t="shared" si="0"/>
        <v>191902329</v>
      </c>
      <c r="K5" s="58"/>
    </row>
    <row r="6" spans="1:11" ht="16.5" customHeight="1">
      <c r="A6" s="45"/>
      <c r="B6" s="21"/>
      <c r="C6" s="22"/>
      <c r="D6" s="25"/>
      <c r="E6" s="26" t="s">
        <v>40</v>
      </c>
      <c r="F6" s="27">
        <v>1810000</v>
      </c>
      <c r="G6" s="27"/>
      <c r="H6" s="27">
        <v>416030</v>
      </c>
      <c r="I6" s="24">
        <f>J6-SUM(F6,G6,H6)</f>
        <v>1839919</v>
      </c>
      <c r="J6" s="27">
        <v>4065949</v>
      </c>
    </row>
    <row r="7" spans="1:11" ht="16.5" customHeight="1">
      <c r="A7" s="45"/>
      <c r="B7" s="21"/>
      <c r="C7" s="22"/>
      <c r="D7" s="25"/>
      <c r="E7" s="26" t="s">
        <v>45</v>
      </c>
      <c r="F7" s="27"/>
      <c r="G7" s="27"/>
      <c r="H7" s="27"/>
      <c r="I7" s="24">
        <f>J7-SUM(F7,G7,H7)</f>
        <v>0</v>
      </c>
      <c r="J7" s="27">
        <v>0</v>
      </c>
    </row>
    <row r="8" spans="1:11" ht="16.5" customHeight="1">
      <c r="A8" s="45"/>
      <c r="B8" s="21"/>
      <c r="C8" s="22"/>
      <c r="D8" s="25"/>
      <c r="E8" s="28" t="s">
        <v>41</v>
      </c>
      <c r="F8" s="27">
        <v>136039778</v>
      </c>
      <c r="G8" s="27"/>
      <c r="H8" s="27"/>
      <c r="I8" s="24">
        <f>J8-SUM(F8,G8,H8)</f>
        <v>42703591</v>
      </c>
      <c r="J8" s="27">
        <v>178743369</v>
      </c>
    </row>
    <row r="9" spans="1:11" ht="16.5" customHeight="1">
      <c r="A9" s="45"/>
      <c r="B9" s="21"/>
      <c r="C9" s="22"/>
      <c r="D9" s="25"/>
      <c r="E9" s="26" t="s">
        <v>42</v>
      </c>
      <c r="F9" s="27">
        <v>609879</v>
      </c>
      <c r="G9" s="27"/>
      <c r="H9" s="27"/>
      <c r="I9" s="24">
        <f t="shared" ref="I9" si="1">J9-SUM(F9,G9,H9)</f>
        <v>4132</v>
      </c>
      <c r="J9" s="27">
        <v>614011</v>
      </c>
    </row>
    <row r="10" spans="1:11" ht="16.5" customHeight="1">
      <c r="A10" s="45"/>
      <c r="B10" s="21"/>
      <c r="C10" s="22"/>
      <c r="D10" s="25"/>
      <c r="E10" s="29" t="s">
        <v>43</v>
      </c>
      <c r="F10" s="30">
        <v>1128000</v>
      </c>
      <c r="G10" s="30"/>
      <c r="H10" s="30"/>
      <c r="I10" s="31">
        <f>J10-SUM(F10,G10,H10)</f>
        <v>7351000</v>
      </c>
      <c r="J10" s="30">
        <v>8479000</v>
      </c>
    </row>
    <row r="11" spans="1:11" ht="16.5" customHeight="1">
      <c r="A11" s="45"/>
      <c r="B11" s="56" t="s">
        <v>24</v>
      </c>
      <c r="C11" s="32" t="s">
        <v>69</v>
      </c>
      <c r="D11" s="33">
        <f>SUM(J11)</f>
        <v>54775609</v>
      </c>
      <c r="E11" s="55" t="s">
        <v>91</v>
      </c>
      <c r="F11" s="24">
        <f>SUM(F12:F23)</f>
        <v>150993</v>
      </c>
      <c r="G11" s="24">
        <f>SUM(G12:G23)</f>
        <v>1300000</v>
      </c>
      <c r="H11" s="24">
        <f>SUM(H12:H23)</f>
        <v>605714</v>
      </c>
      <c r="I11" s="24">
        <f>SUM(I12:I23)</f>
        <v>52718902</v>
      </c>
      <c r="J11" s="24">
        <f>SUM(J12:J23)</f>
        <v>54775609</v>
      </c>
      <c r="K11" s="58"/>
    </row>
    <row r="12" spans="1:11" ht="16.5" customHeight="1">
      <c r="A12" s="45"/>
      <c r="B12" s="21"/>
      <c r="C12" s="22"/>
      <c r="D12" s="25"/>
      <c r="E12" s="26" t="s">
        <v>47</v>
      </c>
      <c r="F12" s="27"/>
      <c r="G12" s="27"/>
      <c r="H12" s="27">
        <v>353300</v>
      </c>
      <c r="I12" s="31">
        <f t="shared" ref="I12:I35" si="2">J12-SUM(F12,G12,H12)</f>
        <v>18007551</v>
      </c>
      <c r="J12" s="27">
        <v>18360851</v>
      </c>
    </row>
    <row r="13" spans="1:11" ht="16.5" customHeight="1">
      <c r="A13" s="45"/>
      <c r="B13" s="21"/>
      <c r="C13" s="22"/>
      <c r="D13" s="25"/>
      <c r="E13" s="26" t="s">
        <v>48</v>
      </c>
      <c r="F13" s="27"/>
      <c r="G13" s="27"/>
      <c r="H13" s="27">
        <v>44619</v>
      </c>
      <c r="I13" s="31">
        <f t="shared" si="2"/>
        <v>401571</v>
      </c>
      <c r="J13" s="27">
        <v>446190</v>
      </c>
    </row>
    <row r="14" spans="1:11" ht="16.5" customHeight="1">
      <c r="A14" s="45"/>
      <c r="B14" s="21"/>
      <c r="C14" s="22"/>
      <c r="D14" s="25"/>
      <c r="E14" s="26" t="s">
        <v>49</v>
      </c>
      <c r="F14" s="27"/>
      <c r="G14" s="27"/>
      <c r="H14" s="27">
        <v>157605</v>
      </c>
      <c r="I14" s="31">
        <f t="shared" si="2"/>
        <v>23518395</v>
      </c>
      <c r="J14" s="27">
        <v>23676000</v>
      </c>
    </row>
    <row r="15" spans="1:11" ht="16.5" customHeight="1">
      <c r="A15" s="45"/>
      <c r="B15" s="21"/>
      <c r="C15" s="22"/>
      <c r="D15" s="25"/>
      <c r="E15" s="26" t="s">
        <v>50</v>
      </c>
      <c r="F15" s="27"/>
      <c r="G15" s="27"/>
      <c r="H15" s="27">
        <v>32940</v>
      </c>
      <c r="I15" s="31">
        <f t="shared" si="2"/>
        <v>9067470</v>
      </c>
      <c r="J15" s="27">
        <v>9100410</v>
      </c>
    </row>
    <row r="16" spans="1:11" ht="16.5" customHeight="1">
      <c r="A16" s="45"/>
      <c r="B16" s="21"/>
      <c r="C16" s="22"/>
      <c r="D16" s="25"/>
      <c r="E16" s="26" t="s">
        <v>51</v>
      </c>
      <c r="F16" s="27"/>
      <c r="G16" s="27"/>
      <c r="H16" s="27"/>
      <c r="I16" s="31">
        <f t="shared" si="2"/>
        <v>626574</v>
      </c>
      <c r="J16" s="27">
        <v>626574</v>
      </c>
    </row>
    <row r="17" spans="1:11" ht="16.5" customHeight="1">
      <c r="A17" s="45"/>
      <c r="B17" s="21"/>
      <c r="C17" s="22"/>
      <c r="D17" s="25"/>
      <c r="E17" s="26" t="s">
        <v>52</v>
      </c>
      <c r="F17" s="27"/>
      <c r="G17" s="27"/>
      <c r="H17" s="27">
        <v>17250</v>
      </c>
      <c r="I17" s="31">
        <f t="shared" si="2"/>
        <v>173710</v>
      </c>
      <c r="J17" s="27">
        <v>190960</v>
      </c>
    </row>
    <row r="18" spans="1:11" ht="16.5" customHeight="1">
      <c r="A18" s="45"/>
      <c r="B18" s="21"/>
      <c r="C18" s="22"/>
      <c r="D18" s="25"/>
      <c r="E18" s="26" t="s">
        <v>53</v>
      </c>
      <c r="F18" s="27"/>
      <c r="G18" s="27"/>
      <c r="H18" s="27"/>
      <c r="I18" s="31">
        <f t="shared" si="2"/>
        <v>48000</v>
      </c>
      <c r="J18" s="27">
        <v>48000</v>
      </c>
    </row>
    <row r="19" spans="1:11" ht="16.5" customHeight="1">
      <c r="A19" s="45"/>
      <c r="B19" s="21"/>
      <c r="C19" s="22"/>
      <c r="D19" s="25"/>
      <c r="E19" s="26" t="s">
        <v>54</v>
      </c>
      <c r="F19" s="27"/>
      <c r="G19" s="27"/>
      <c r="H19" s="27"/>
      <c r="I19" s="31">
        <f t="shared" si="2"/>
        <v>210624</v>
      </c>
      <c r="J19" s="27">
        <v>210624</v>
      </c>
    </row>
    <row r="20" spans="1:11" ht="16.5" customHeight="1">
      <c r="A20" s="45"/>
      <c r="B20" s="21"/>
      <c r="C20" s="22"/>
      <c r="D20" s="25"/>
      <c r="E20" s="26" t="s">
        <v>55</v>
      </c>
      <c r="F20" s="27">
        <v>150993</v>
      </c>
      <c r="G20" s="27"/>
      <c r="H20" s="27"/>
      <c r="I20" s="31">
        <f t="shared" si="2"/>
        <v>579007</v>
      </c>
      <c r="J20" s="27">
        <v>730000</v>
      </c>
    </row>
    <row r="21" spans="1:11" ht="16.5" customHeight="1">
      <c r="A21" s="45"/>
      <c r="B21" s="21"/>
      <c r="C21" s="22"/>
      <c r="D21" s="25"/>
      <c r="E21" s="26" t="s">
        <v>56</v>
      </c>
      <c r="F21" s="27"/>
      <c r="G21" s="27"/>
      <c r="H21" s="27"/>
      <c r="I21" s="31">
        <f t="shared" si="2"/>
        <v>0</v>
      </c>
      <c r="J21" s="27">
        <v>0</v>
      </c>
    </row>
    <row r="22" spans="1:11" ht="16.5" customHeight="1">
      <c r="A22" s="45"/>
      <c r="B22" s="21"/>
      <c r="C22" s="22"/>
      <c r="D22" s="25"/>
      <c r="E22" s="26" t="s">
        <v>57</v>
      </c>
      <c r="F22" s="27"/>
      <c r="G22" s="27">
        <v>1300000</v>
      </c>
      <c r="H22" s="27"/>
      <c r="I22" s="31">
        <f t="shared" si="2"/>
        <v>86000</v>
      </c>
      <c r="J22" s="27">
        <v>1386000</v>
      </c>
    </row>
    <row r="23" spans="1:11" ht="16.5" customHeight="1">
      <c r="A23" s="45"/>
      <c r="B23" s="21"/>
      <c r="C23" s="22"/>
      <c r="D23" s="25"/>
      <c r="E23" s="29" t="s">
        <v>59</v>
      </c>
      <c r="F23" s="27"/>
      <c r="G23" s="27"/>
      <c r="H23" s="27"/>
      <c r="I23" s="31">
        <f t="shared" si="2"/>
        <v>0</v>
      </c>
      <c r="J23" s="27">
        <v>0</v>
      </c>
    </row>
    <row r="24" spans="1:11" ht="16.5" customHeight="1">
      <c r="A24" s="45"/>
      <c r="B24" s="56" t="s">
        <v>25</v>
      </c>
      <c r="C24" s="32" t="s">
        <v>70</v>
      </c>
      <c r="D24" s="33">
        <f>SUM(J24)</f>
        <v>121862846</v>
      </c>
      <c r="E24" s="55" t="s">
        <v>91</v>
      </c>
      <c r="F24" s="24">
        <f>SUM(F25:F32)</f>
        <v>34689373</v>
      </c>
      <c r="G24" s="24">
        <f>SUM(G25:G32)</f>
        <v>0</v>
      </c>
      <c r="H24" s="24">
        <f>SUM(H25:H32)</f>
        <v>10156230</v>
      </c>
      <c r="I24" s="24">
        <f>SUM(I25:I32)</f>
        <v>77017243</v>
      </c>
      <c r="J24" s="24">
        <f>SUM(J25:J32)</f>
        <v>121862846</v>
      </c>
      <c r="K24" s="58"/>
    </row>
    <row r="25" spans="1:11" ht="16.5" customHeight="1">
      <c r="A25" s="45"/>
      <c r="B25" s="21"/>
      <c r="C25" s="22"/>
      <c r="D25" s="25"/>
      <c r="E25" s="28" t="s">
        <v>60</v>
      </c>
      <c r="F25" s="27">
        <v>21343500</v>
      </c>
      <c r="G25" s="27"/>
      <c r="H25" s="27"/>
      <c r="I25" s="31">
        <f t="shared" si="2"/>
        <v>7710680</v>
      </c>
      <c r="J25" s="27">
        <v>29054180</v>
      </c>
    </row>
    <row r="26" spans="1:11" ht="16.5" customHeight="1">
      <c r="A26" s="45"/>
      <c r="B26" s="21"/>
      <c r="C26" s="22"/>
      <c r="D26" s="25"/>
      <c r="E26" s="28" t="s">
        <v>112</v>
      </c>
      <c r="F26" s="27"/>
      <c r="G26" s="27"/>
      <c r="H26" s="27"/>
      <c r="I26" s="31">
        <f t="shared" si="2"/>
        <v>2803348</v>
      </c>
      <c r="J26" s="27">
        <v>2803348</v>
      </c>
    </row>
    <row r="27" spans="1:11" ht="16.5" customHeight="1">
      <c r="A27" s="45"/>
      <c r="B27" s="21"/>
      <c r="C27" s="22"/>
      <c r="D27" s="25"/>
      <c r="E27" s="70" t="s">
        <v>127</v>
      </c>
      <c r="F27" s="27">
        <v>150000</v>
      </c>
      <c r="G27" s="27"/>
      <c r="H27" s="27"/>
      <c r="I27" s="31">
        <f>J27-SUM(F27,G27,H27)</f>
        <v>559400</v>
      </c>
      <c r="J27" s="27">
        <v>709400</v>
      </c>
    </row>
    <row r="28" spans="1:11" ht="16.5" customHeight="1">
      <c r="A28" s="45"/>
      <c r="B28" s="21"/>
      <c r="C28" s="22"/>
      <c r="D28" s="25"/>
      <c r="E28" s="70" t="s">
        <v>121</v>
      </c>
      <c r="F28" s="27">
        <v>391000</v>
      </c>
      <c r="G28" s="27"/>
      <c r="H28" s="27"/>
      <c r="I28" s="31">
        <f>J28-SUM(F28,G28,H28)</f>
        <v>309000</v>
      </c>
      <c r="J28" s="27">
        <v>700000</v>
      </c>
    </row>
    <row r="29" spans="1:11" ht="16.5" customHeight="1">
      <c r="A29" s="45"/>
      <c r="B29" s="21"/>
      <c r="C29" s="22"/>
      <c r="D29" s="25"/>
      <c r="E29" s="28" t="s">
        <v>61</v>
      </c>
      <c r="F29" s="27">
        <v>8193873</v>
      </c>
      <c r="G29" s="27"/>
      <c r="H29" s="27">
        <v>10156230</v>
      </c>
      <c r="I29" s="31">
        <f t="shared" si="2"/>
        <v>61328089</v>
      </c>
      <c r="J29" s="27">
        <v>79678192</v>
      </c>
    </row>
    <row r="30" spans="1:11" ht="16.5" customHeight="1">
      <c r="A30" s="45"/>
      <c r="B30" s="21"/>
      <c r="C30" s="22"/>
      <c r="D30" s="25"/>
      <c r="E30" s="70" t="s">
        <v>122</v>
      </c>
      <c r="F30" s="27">
        <v>4611000</v>
      </c>
      <c r="G30" s="27"/>
      <c r="H30" s="27"/>
      <c r="I30" s="31">
        <f t="shared" si="2"/>
        <v>4095661</v>
      </c>
      <c r="J30" s="27">
        <v>8706661</v>
      </c>
    </row>
    <row r="31" spans="1:11" ht="16.5" customHeight="1">
      <c r="A31" s="45"/>
      <c r="B31" s="21"/>
      <c r="C31" s="22"/>
      <c r="D31" s="25"/>
      <c r="E31" s="70" t="s">
        <v>128</v>
      </c>
      <c r="F31" s="27"/>
      <c r="G31" s="27"/>
      <c r="H31" s="27"/>
      <c r="I31" s="31">
        <f t="shared" si="2"/>
        <v>0</v>
      </c>
      <c r="J31" s="27">
        <v>0</v>
      </c>
    </row>
    <row r="32" spans="1:11" ht="16.5" customHeight="1">
      <c r="A32" s="48"/>
      <c r="B32" s="34"/>
      <c r="C32" s="35"/>
      <c r="D32" s="36"/>
      <c r="E32" s="28" t="s">
        <v>62</v>
      </c>
      <c r="F32" s="27"/>
      <c r="G32" s="27"/>
      <c r="H32" s="27"/>
      <c r="I32" s="24">
        <f t="shared" si="2"/>
        <v>211065</v>
      </c>
      <c r="J32" s="27">
        <v>211065</v>
      </c>
    </row>
    <row r="33" spans="1:11" ht="16.5" customHeight="1">
      <c r="A33" s="45" t="s">
        <v>89</v>
      </c>
      <c r="B33" s="49"/>
      <c r="C33" s="50"/>
      <c r="D33" s="44">
        <f>SUM(D34,D36,D38)</f>
        <v>134930600</v>
      </c>
      <c r="E33" s="43" t="s">
        <v>90</v>
      </c>
      <c r="F33" s="44">
        <f t="shared" ref="F33:J33" si="3">SUM(F34,F36,F38)</f>
        <v>27576476</v>
      </c>
      <c r="G33" s="44">
        <f t="shared" si="3"/>
        <v>0</v>
      </c>
      <c r="H33" s="44">
        <f t="shared" si="3"/>
        <v>0</v>
      </c>
      <c r="I33" s="44">
        <f>SUM(I34,I36,I38)</f>
        <v>107354124</v>
      </c>
      <c r="J33" s="44">
        <f t="shared" si="3"/>
        <v>134930600</v>
      </c>
      <c r="K33" s="58"/>
    </row>
    <row r="34" spans="1:11" ht="16.5" customHeight="1">
      <c r="A34" s="45"/>
      <c r="B34" s="56" t="s">
        <v>19</v>
      </c>
      <c r="C34" s="37" t="s">
        <v>31</v>
      </c>
      <c r="D34" s="31">
        <f>SUM(J34)</f>
        <v>26261578</v>
      </c>
      <c r="E34" s="55" t="s">
        <v>91</v>
      </c>
      <c r="F34" s="24">
        <f>SUM(F35)</f>
        <v>14395292</v>
      </c>
      <c r="G34" s="24">
        <f t="shared" ref="G34:J34" si="4">SUM(G35)</f>
        <v>0</v>
      </c>
      <c r="H34" s="24">
        <f t="shared" si="4"/>
        <v>0</v>
      </c>
      <c r="I34" s="24">
        <f t="shared" si="4"/>
        <v>11866286</v>
      </c>
      <c r="J34" s="24">
        <f t="shared" si="4"/>
        <v>26261578</v>
      </c>
      <c r="K34" s="58"/>
    </row>
    <row r="35" spans="1:11" ht="16.5" customHeight="1">
      <c r="A35" s="45"/>
      <c r="B35" s="34"/>
      <c r="C35" s="38"/>
      <c r="D35" s="39"/>
      <c r="E35" s="26" t="s">
        <v>63</v>
      </c>
      <c r="F35" s="27">
        <v>14395292</v>
      </c>
      <c r="G35" s="27"/>
      <c r="H35" s="27"/>
      <c r="I35" s="31">
        <f t="shared" si="2"/>
        <v>11866286</v>
      </c>
      <c r="J35" s="27">
        <v>26261578</v>
      </c>
    </row>
    <row r="36" spans="1:11" ht="16.5" customHeight="1">
      <c r="A36" s="45"/>
      <c r="B36" s="56" t="s">
        <v>20</v>
      </c>
      <c r="C36" s="32" t="s">
        <v>32</v>
      </c>
      <c r="D36" s="31">
        <f>SUM(J36)</f>
        <v>52493559</v>
      </c>
      <c r="E36" s="55" t="s">
        <v>91</v>
      </c>
      <c r="F36" s="24">
        <f>SUM(F37)</f>
        <v>3599775</v>
      </c>
      <c r="G36" s="24">
        <f>SUM(G37)</f>
        <v>0</v>
      </c>
      <c r="H36" s="24">
        <f t="shared" ref="H36:J36" si="5">SUM(H37)</f>
        <v>0</v>
      </c>
      <c r="I36" s="24">
        <f t="shared" si="5"/>
        <v>48893784</v>
      </c>
      <c r="J36" s="24">
        <f t="shared" si="5"/>
        <v>52493559</v>
      </c>
      <c r="K36" s="58"/>
    </row>
    <row r="37" spans="1:11" ht="16.5" customHeight="1">
      <c r="A37" s="45"/>
      <c r="B37" s="34"/>
      <c r="C37" s="35"/>
      <c r="D37" s="36"/>
      <c r="E37" s="26" t="s">
        <v>64</v>
      </c>
      <c r="F37" s="27">
        <v>3599775</v>
      </c>
      <c r="G37" s="27"/>
      <c r="H37" s="27"/>
      <c r="I37" s="31">
        <f t="shared" ref="I37" si="6">J37-SUM(F37,G37,H37)</f>
        <v>48893784</v>
      </c>
      <c r="J37" s="27">
        <v>52493559</v>
      </c>
    </row>
    <row r="38" spans="1:11" ht="16.5" customHeight="1">
      <c r="A38" s="45"/>
      <c r="B38" s="57" t="s">
        <v>21</v>
      </c>
      <c r="C38" s="22" t="s">
        <v>33</v>
      </c>
      <c r="D38" s="23">
        <f>SUM(J38)</f>
        <v>56175463</v>
      </c>
      <c r="E38" s="55" t="s">
        <v>91</v>
      </c>
      <c r="F38" s="24">
        <f>SUM(F39:F40)</f>
        <v>9581409</v>
      </c>
      <c r="G38" s="24">
        <f t="shared" ref="G38:J38" si="7">SUM(G39:G40)</f>
        <v>0</v>
      </c>
      <c r="H38" s="24">
        <f t="shared" si="7"/>
        <v>0</v>
      </c>
      <c r="I38" s="24">
        <f t="shared" si="7"/>
        <v>46594054</v>
      </c>
      <c r="J38" s="24">
        <f t="shared" si="7"/>
        <v>56175463</v>
      </c>
      <c r="K38" s="58"/>
    </row>
    <row r="39" spans="1:11" ht="16.5" customHeight="1">
      <c r="A39" s="45"/>
      <c r="B39" s="21"/>
      <c r="C39" s="22" t="s">
        <v>67</v>
      </c>
      <c r="D39" s="25"/>
      <c r="E39" s="26" t="s">
        <v>65</v>
      </c>
      <c r="F39" s="27"/>
      <c r="G39" s="27"/>
      <c r="H39" s="27"/>
      <c r="I39" s="31">
        <f t="shared" ref="I39:I53" si="8">J39-SUM(F39,G39,H39)</f>
        <v>39875250</v>
      </c>
      <c r="J39" s="27">
        <v>39875250</v>
      </c>
    </row>
    <row r="40" spans="1:11" ht="16.5" customHeight="1">
      <c r="A40" s="48"/>
      <c r="B40" s="34"/>
      <c r="C40" s="35"/>
      <c r="D40" s="36"/>
      <c r="E40" s="26" t="s">
        <v>66</v>
      </c>
      <c r="F40" s="27">
        <v>9581409</v>
      </c>
      <c r="G40" s="27"/>
      <c r="H40" s="27"/>
      <c r="I40" s="24">
        <f t="shared" si="8"/>
        <v>6718804</v>
      </c>
      <c r="J40" s="27">
        <v>16300213</v>
      </c>
    </row>
    <row r="41" spans="1:11" ht="16.5" customHeight="1">
      <c r="A41" s="45" t="s">
        <v>18</v>
      </c>
      <c r="B41" s="51"/>
      <c r="C41" s="50"/>
      <c r="D41" s="44">
        <f>SUM(D42,D46,D49)</f>
        <v>25168104</v>
      </c>
      <c r="E41" s="43" t="s">
        <v>90</v>
      </c>
      <c r="F41" s="44">
        <f>SUM(F42,F46,F49)</f>
        <v>2395811</v>
      </c>
      <c r="G41" s="44">
        <f>SUM(G42,G46,G49)</f>
        <v>3900000</v>
      </c>
      <c r="H41" s="44">
        <f>SUM(H42,H46,H49)</f>
        <v>5040770</v>
      </c>
      <c r="I41" s="44">
        <f>SUM(I42,I46,I49)</f>
        <v>13831523</v>
      </c>
      <c r="J41" s="44">
        <f>SUM(J42,J46,J49)</f>
        <v>25168104</v>
      </c>
      <c r="K41" s="58"/>
    </row>
    <row r="42" spans="1:11" ht="16.5" customHeight="1">
      <c r="A42" s="54"/>
      <c r="B42" s="56" t="s">
        <v>34</v>
      </c>
      <c r="C42" s="32" t="s">
        <v>37</v>
      </c>
      <c r="D42" s="33">
        <f>SUM(J42)</f>
        <v>8416018</v>
      </c>
      <c r="E42" s="55" t="s">
        <v>91</v>
      </c>
      <c r="F42" s="24">
        <f>SUM(F43:F45)</f>
        <v>1655811</v>
      </c>
      <c r="G42" s="24">
        <f t="shared" ref="G42:H42" si="9">SUM(G43:G45)</f>
        <v>3900000</v>
      </c>
      <c r="H42" s="24">
        <f t="shared" si="9"/>
        <v>87960</v>
      </c>
      <c r="I42" s="24">
        <f>SUM(I43:I45)</f>
        <v>2772247</v>
      </c>
      <c r="J42" s="24">
        <f>SUM(J43:J45)</f>
        <v>8416018</v>
      </c>
      <c r="K42" s="58"/>
    </row>
    <row r="43" spans="1:11" ht="16.5" customHeight="1">
      <c r="A43" s="45"/>
      <c r="B43" s="40"/>
      <c r="C43" s="22" t="s">
        <v>110</v>
      </c>
      <c r="D43" s="25"/>
      <c r="E43" s="28" t="s">
        <v>78</v>
      </c>
      <c r="F43" s="27">
        <v>219000</v>
      </c>
      <c r="G43" s="27"/>
      <c r="H43" s="27"/>
      <c r="I43" s="31">
        <f t="shared" si="8"/>
        <v>298137</v>
      </c>
      <c r="J43" s="27">
        <v>517137</v>
      </c>
    </row>
    <row r="44" spans="1:11" ht="16.5" customHeight="1">
      <c r="A44" s="45"/>
      <c r="B44" s="40"/>
      <c r="C44" s="22" t="s">
        <v>73</v>
      </c>
      <c r="D44" s="25"/>
      <c r="E44" s="28" t="s">
        <v>109</v>
      </c>
      <c r="F44" s="27">
        <v>1289000</v>
      </c>
      <c r="G44" s="27">
        <v>3900000</v>
      </c>
      <c r="H44" s="27"/>
      <c r="I44" s="31">
        <f t="shared" si="8"/>
        <v>2424721</v>
      </c>
      <c r="J44" s="27">
        <v>7613721</v>
      </c>
    </row>
    <row r="45" spans="1:11" ht="16.5" customHeight="1">
      <c r="A45" s="45"/>
      <c r="B45" s="21"/>
      <c r="C45" s="22"/>
      <c r="D45" s="25"/>
      <c r="E45" s="28" t="s">
        <v>80</v>
      </c>
      <c r="F45" s="27">
        <v>147811</v>
      </c>
      <c r="G45" s="27"/>
      <c r="H45" s="27">
        <v>87960</v>
      </c>
      <c r="I45" s="31">
        <f t="shared" si="8"/>
        <v>49389</v>
      </c>
      <c r="J45" s="27">
        <v>285160</v>
      </c>
    </row>
    <row r="46" spans="1:11" ht="16.5" customHeight="1">
      <c r="A46" s="45"/>
      <c r="B46" s="56" t="s">
        <v>26</v>
      </c>
      <c r="C46" s="32" t="s">
        <v>35</v>
      </c>
      <c r="D46" s="33">
        <f>SUM(J46)</f>
        <v>7628237</v>
      </c>
      <c r="E46" s="55" t="s">
        <v>91</v>
      </c>
      <c r="F46" s="24">
        <f>SUM(F47:F48)</f>
        <v>41000</v>
      </c>
      <c r="G46" s="24">
        <f t="shared" ref="G46:J46" si="10">SUM(G47:G48)</f>
        <v>0</v>
      </c>
      <c r="H46" s="24">
        <f t="shared" si="10"/>
        <v>1348750</v>
      </c>
      <c r="I46" s="24">
        <f t="shared" si="10"/>
        <v>6238487</v>
      </c>
      <c r="J46" s="24">
        <f t="shared" si="10"/>
        <v>7628237</v>
      </c>
      <c r="K46" s="58"/>
    </row>
    <row r="47" spans="1:11" ht="16.5" customHeight="1">
      <c r="A47" s="45"/>
      <c r="B47" s="21"/>
      <c r="C47" s="22" t="s">
        <v>74</v>
      </c>
      <c r="D47" s="25"/>
      <c r="E47" s="28" t="s">
        <v>81</v>
      </c>
      <c r="F47" s="27"/>
      <c r="G47" s="27"/>
      <c r="H47" s="27"/>
      <c r="I47" s="31">
        <f t="shared" si="8"/>
        <v>152158</v>
      </c>
      <c r="J47" s="27">
        <v>152158</v>
      </c>
    </row>
    <row r="48" spans="1:11" ht="16.5" customHeight="1">
      <c r="A48" s="45"/>
      <c r="B48" s="34"/>
      <c r="C48" s="35"/>
      <c r="D48" s="36"/>
      <c r="E48" s="28" t="s">
        <v>82</v>
      </c>
      <c r="F48" s="27">
        <v>41000</v>
      </c>
      <c r="G48" s="27"/>
      <c r="H48" s="27">
        <v>1348750</v>
      </c>
      <c r="I48" s="31">
        <f t="shared" si="8"/>
        <v>6086329</v>
      </c>
      <c r="J48" s="27">
        <v>7476079</v>
      </c>
    </row>
    <row r="49" spans="1:11" ht="16.5" customHeight="1">
      <c r="A49" s="45"/>
      <c r="B49" s="57" t="s">
        <v>27</v>
      </c>
      <c r="C49" s="22" t="s">
        <v>36</v>
      </c>
      <c r="D49" s="23">
        <f>SUM(J49)</f>
        <v>9123849</v>
      </c>
      <c r="E49" s="55" t="s">
        <v>91</v>
      </c>
      <c r="F49" s="24">
        <f>SUM(F50:F53)</f>
        <v>699000</v>
      </c>
      <c r="G49" s="24">
        <f t="shared" ref="G49:J49" si="11">SUM(G50:G53)</f>
        <v>0</v>
      </c>
      <c r="H49" s="24">
        <f t="shared" si="11"/>
        <v>3604060</v>
      </c>
      <c r="I49" s="24">
        <f t="shared" si="11"/>
        <v>4820789</v>
      </c>
      <c r="J49" s="24">
        <f t="shared" si="11"/>
        <v>9123849</v>
      </c>
      <c r="K49" s="58"/>
    </row>
    <row r="50" spans="1:11" ht="16.5" customHeight="1">
      <c r="A50" s="45"/>
      <c r="B50" s="21"/>
      <c r="C50" s="22" t="s">
        <v>75</v>
      </c>
      <c r="D50" s="25"/>
      <c r="E50" s="28" t="s">
        <v>83</v>
      </c>
      <c r="F50" s="27">
        <v>5000</v>
      </c>
      <c r="G50" s="27"/>
      <c r="H50" s="27">
        <v>339160</v>
      </c>
      <c r="I50" s="31">
        <f t="shared" si="8"/>
        <v>1913381</v>
      </c>
      <c r="J50" s="27">
        <v>2257541</v>
      </c>
    </row>
    <row r="51" spans="1:11" ht="16.5" customHeight="1">
      <c r="A51" s="45"/>
      <c r="B51" s="21"/>
      <c r="C51" s="22" t="s">
        <v>76</v>
      </c>
      <c r="D51" s="25"/>
      <c r="E51" s="28" t="s">
        <v>84</v>
      </c>
      <c r="F51" s="27">
        <v>332000</v>
      </c>
      <c r="G51" s="27"/>
      <c r="H51" s="27"/>
      <c r="I51" s="31">
        <f t="shared" si="8"/>
        <v>1028979</v>
      </c>
      <c r="J51" s="27">
        <v>1360979</v>
      </c>
    </row>
    <row r="52" spans="1:11" ht="16.5" customHeight="1">
      <c r="A52" s="45"/>
      <c r="B52" s="21"/>
      <c r="C52" s="22" t="s">
        <v>77</v>
      </c>
      <c r="D52" s="25"/>
      <c r="E52" s="28" t="s">
        <v>85</v>
      </c>
      <c r="F52" s="27">
        <v>362000</v>
      </c>
      <c r="G52" s="27"/>
      <c r="H52" s="27">
        <v>2913392</v>
      </c>
      <c r="I52" s="31">
        <f t="shared" si="8"/>
        <v>1434937</v>
      </c>
      <c r="J52" s="27">
        <v>4710329</v>
      </c>
    </row>
    <row r="53" spans="1:11" ht="16.5" customHeight="1">
      <c r="A53" s="48"/>
      <c r="B53" s="34"/>
      <c r="C53" s="35"/>
      <c r="D53" s="36"/>
      <c r="E53" s="28" t="s">
        <v>86</v>
      </c>
      <c r="F53" s="27"/>
      <c r="G53" s="27"/>
      <c r="H53" s="27">
        <v>351508</v>
      </c>
      <c r="I53" s="24">
        <f t="shared" si="8"/>
        <v>443492</v>
      </c>
      <c r="J53" s="27">
        <v>795000</v>
      </c>
    </row>
    <row r="54" spans="1:11" ht="16.5" customHeight="1">
      <c r="A54" s="164" t="s">
        <v>92</v>
      </c>
      <c r="B54" s="164"/>
      <c r="C54" s="164"/>
      <c r="D54" s="52">
        <f>SUM(D4,D33,D41)</f>
        <v>528639488</v>
      </c>
      <c r="E54" s="53"/>
      <c r="F54" s="52">
        <f>SUM(F4,F33,F41)</f>
        <v>204400310</v>
      </c>
      <c r="G54" s="52">
        <f>SUM(G4,G33,G41)</f>
        <v>5200000</v>
      </c>
      <c r="H54" s="52">
        <f>SUM(H4,H33,H41)</f>
        <v>16218744</v>
      </c>
      <c r="I54" s="52">
        <f>SUM(I4,I33,I41)</f>
        <v>302820434</v>
      </c>
      <c r="J54" s="52">
        <f>SUM(J4,J33,J41)</f>
        <v>528639488</v>
      </c>
      <c r="K54" s="58"/>
    </row>
  </sheetData>
  <mergeCells count="1">
    <mergeCell ref="A54:C54"/>
  </mergeCells>
  <phoneticPr fontId="2"/>
  <pageMargins left="0.7" right="0.7" top="0.75" bottom="0.75" header="0.3" footer="0.3"/>
  <pageSetup paperSize="9"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27"/>
  <sheetViews>
    <sheetView showGridLines="0" view="pageBreakPreview" zoomScale="60" zoomScaleNormal="70" workbookViewId="0">
      <selection activeCell="H12" sqref="H12"/>
    </sheetView>
  </sheetViews>
  <sheetFormatPr defaultRowHeight="29.25" customHeight="1"/>
  <cols>
    <col min="1" max="1" width="9.625" style="11" customWidth="1"/>
    <col min="2" max="8" width="19.25" style="1" customWidth="1"/>
    <col min="9" max="9" width="26.625" style="1" customWidth="1"/>
    <col min="10" max="10" width="19.25" style="1" customWidth="1"/>
    <col min="11" max="12" width="5.25" style="1" customWidth="1"/>
    <col min="13" max="15" width="15.75" style="1" customWidth="1"/>
    <col min="16" max="16" width="21.5" style="1" customWidth="1"/>
    <col min="17" max="16384" width="9" style="1"/>
  </cols>
  <sheetData>
    <row r="1" spans="1:16" ht="23.25" customHeight="1">
      <c r="B1" s="162" t="s">
        <v>118</v>
      </c>
      <c r="C1" s="162"/>
      <c r="D1" s="162"/>
      <c r="E1" s="162"/>
      <c r="F1" s="162"/>
      <c r="G1" s="162"/>
      <c r="H1" s="162"/>
      <c r="I1" s="162"/>
      <c r="J1" s="162"/>
    </row>
    <row r="2" spans="1:16" ht="23.25" customHeight="1">
      <c r="A2" s="12"/>
      <c r="B2" s="162"/>
      <c r="C2" s="162"/>
      <c r="D2" s="162"/>
      <c r="E2" s="162"/>
      <c r="F2" s="162"/>
      <c r="G2" s="162"/>
      <c r="H2" s="162"/>
      <c r="I2" s="162"/>
      <c r="J2" s="162"/>
    </row>
    <row r="3" spans="1:16" ht="23.25" customHeight="1"/>
    <row r="4" spans="1:16" s="7" customFormat="1" ht="23.25" customHeight="1">
      <c r="A4" s="11"/>
      <c r="B4" s="5" t="s">
        <v>0</v>
      </c>
      <c r="C4" s="6" t="s">
        <v>1</v>
      </c>
      <c r="D4" s="6"/>
      <c r="E4" s="6"/>
      <c r="F4" s="6"/>
      <c r="I4" s="4">
        <v>40075</v>
      </c>
    </row>
    <row r="5" spans="1:16" ht="23.25" customHeight="1">
      <c r="B5" s="2"/>
      <c r="C5" s="3"/>
      <c r="D5" s="3"/>
      <c r="E5" s="3"/>
      <c r="F5" s="3"/>
    </row>
    <row r="6" spans="1:16" s="7" customFormat="1" ht="23.25" customHeight="1">
      <c r="A6" s="11"/>
      <c r="B6" s="5" t="s">
        <v>2</v>
      </c>
      <c r="C6" s="6" t="s">
        <v>3</v>
      </c>
      <c r="D6" s="6"/>
      <c r="E6" s="6"/>
      <c r="F6" s="6"/>
      <c r="I6" s="4">
        <f>ROUND('R05決算内訳'!D54,-3)/1000</f>
        <v>531423</v>
      </c>
    </row>
    <row r="7" spans="1:16" ht="23.25" customHeight="1"/>
    <row r="8" spans="1:16" ht="29.25" customHeight="1">
      <c r="B8" s="7" t="s">
        <v>4</v>
      </c>
      <c r="E8" s="72" t="str">
        <f>IF(E24=I6,"","☟調整必要")</f>
        <v/>
      </c>
      <c r="F8" s="72" t="str">
        <f>IF(F27=F15+F19+F23,"","☟調整必要")</f>
        <v/>
      </c>
      <c r="G8" s="72" t="str">
        <f t="shared" ref="G8:H8" si="0">IF(G27=G15+G19+G23,"","☟調整必要")</f>
        <v/>
      </c>
      <c r="H8" s="72" t="str">
        <f t="shared" si="0"/>
        <v/>
      </c>
      <c r="I8" s="72" t="str">
        <f>IF(I24=I4,"","☟調整必要")</f>
        <v/>
      </c>
      <c r="J8" s="8" t="s">
        <v>14</v>
      </c>
    </row>
    <row r="9" spans="1:16" s="7" customFormat="1" ht="29.25" customHeight="1">
      <c r="A9" s="11"/>
      <c r="B9" s="160" t="s">
        <v>5</v>
      </c>
      <c r="C9" s="160" t="s">
        <v>6</v>
      </c>
      <c r="D9" s="160"/>
      <c r="E9" s="163" t="s">
        <v>120</v>
      </c>
      <c r="F9" s="160" t="s">
        <v>13</v>
      </c>
      <c r="G9" s="160"/>
      <c r="H9" s="160"/>
      <c r="I9" s="160"/>
      <c r="J9" s="160"/>
    </row>
    <row r="10" spans="1:16" s="7" customFormat="1" ht="29.25" customHeight="1">
      <c r="A10" s="11"/>
      <c r="B10" s="160"/>
      <c r="C10" s="160"/>
      <c r="D10" s="160"/>
      <c r="E10" s="160"/>
      <c r="F10" s="160" t="s">
        <v>10</v>
      </c>
      <c r="G10" s="160"/>
      <c r="H10" s="160"/>
      <c r="I10" s="160" t="s">
        <v>11</v>
      </c>
      <c r="J10" s="160"/>
    </row>
    <row r="11" spans="1:16" s="7" customFormat="1" ht="41.25" customHeight="1">
      <c r="A11" s="11"/>
      <c r="B11" s="160"/>
      <c r="C11" s="160"/>
      <c r="D11" s="160"/>
      <c r="E11" s="160"/>
      <c r="F11" s="69" t="s">
        <v>7</v>
      </c>
      <c r="G11" s="69" t="s">
        <v>8</v>
      </c>
      <c r="H11" s="69" t="s">
        <v>9</v>
      </c>
      <c r="I11" s="61" t="s">
        <v>12</v>
      </c>
      <c r="J11" s="69" t="s">
        <v>9</v>
      </c>
      <c r="M11" s="10" t="s">
        <v>29</v>
      </c>
      <c r="N11" s="10" t="s">
        <v>29</v>
      </c>
    </row>
    <row r="12" spans="1:16" s="7" customFormat="1" ht="29.25" customHeight="1">
      <c r="A12" s="11"/>
      <c r="B12" s="160" t="s">
        <v>16</v>
      </c>
      <c r="C12" s="161" t="s">
        <v>28</v>
      </c>
      <c r="D12" s="161"/>
      <c r="E12" s="59">
        <f>ROUND('R05決算内訳'!D5,-3)/1000</f>
        <v>192590</v>
      </c>
      <c r="F12" s="59">
        <f>ROUND('R05決算内訳'!F5,-3)/1000</f>
        <v>142688</v>
      </c>
      <c r="G12" s="59">
        <f>ROUND('R05決算内訳'!G5,-3)/1000</f>
        <v>0</v>
      </c>
      <c r="H12" s="59">
        <f>ROUND('R05決算内訳'!H5,-3)/1000+1</f>
        <v>510</v>
      </c>
      <c r="I12" s="60">
        <f>ROUND(I4/M24*M12,0)</f>
        <v>6728</v>
      </c>
      <c r="J12" s="59">
        <f>E12-(F12+G12+H12+I12)</f>
        <v>42664</v>
      </c>
      <c r="M12" s="9">
        <f>E12-(SUM(F12,G12,H12))</f>
        <v>49392</v>
      </c>
      <c r="N12" s="9">
        <f>I12+J12</f>
        <v>49392</v>
      </c>
      <c r="O12" s="9">
        <f>M12-N12</f>
        <v>0</v>
      </c>
      <c r="P12" s="7">
        <f>M12/M24*I24</f>
        <v>6728.091720853713</v>
      </c>
    </row>
    <row r="13" spans="1:16" s="7" customFormat="1" ht="29.25" customHeight="1">
      <c r="A13" s="11"/>
      <c r="B13" s="160"/>
      <c r="C13" s="161" t="s">
        <v>24</v>
      </c>
      <c r="D13" s="161"/>
      <c r="E13" s="59">
        <f>ROUND('R05決算内訳'!D11,-3)/1000</f>
        <v>47832</v>
      </c>
      <c r="F13" s="59">
        <f>ROUND('R05決算内訳'!F11,-3)/1000</f>
        <v>146</v>
      </c>
      <c r="G13" s="59">
        <f>ROUND('R05決算内訳'!G11,-3)/1000</f>
        <v>1500</v>
      </c>
      <c r="H13" s="59">
        <f>ROUND('R05決算内訳'!H11,-3)/1000</f>
        <v>1070</v>
      </c>
      <c r="I13" s="60">
        <f>ROUND(I4/M24*M13,0)</f>
        <v>6146</v>
      </c>
      <c r="J13" s="59">
        <f>E13-(F13+G13+H13+I13)</f>
        <v>38970</v>
      </c>
      <c r="M13" s="9">
        <f t="shared" ref="M13:M23" si="1">E13-(SUM(F13,G13,H13))</f>
        <v>45116</v>
      </c>
      <c r="N13" s="9">
        <f t="shared" ref="N13:N23" si="2">I13+J13</f>
        <v>45116</v>
      </c>
      <c r="O13" s="9">
        <f t="shared" ref="O13:O24" si="3">M13-N13</f>
        <v>0</v>
      </c>
      <c r="P13" s="7">
        <f>M13/M24*I24</f>
        <v>6145.622491051914</v>
      </c>
    </row>
    <row r="14" spans="1:16" s="7" customFormat="1" ht="29.25" customHeight="1">
      <c r="A14" s="11"/>
      <c r="B14" s="160"/>
      <c r="C14" s="161" t="s">
        <v>25</v>
      </c>
      <c r="D14" s="161"/>
      <c r="E14" s="59">
        <f>ROUND('R05決算内訳'!D24,-3)/1000</f>
        <v>112640</v>
      </c>
      <c r="F14" s="59">
        <f>ROUND('R05決算内訳'!F24,-3)/1000</f>
        <v>35071</v>
      </c>
      <c r="G14" s="59">
        <f>ROUND('R05決算内訳'!G24,-3)/1000</f>
        <v>0</v>
      </c>
      <c r="H14" s="59">
        <f>ROUND('R05決算内訳'!H24,-3)/1000</f>
        <v>15555</v>
      </c>
      <c r="I14" s="60">
        <f>ROUND(I4/M24*M14,0)</f>
        <v>8447</v>
      </c>
      <c r="J14" s="59">
        <f t="shared" ref="J14" si="4">E14-(F14+G14+H14+I14)</f>
        <v>53567</v>
      </c>
      <c r="M14" s="9">
        <f t="shared" si="1"/>
        <v>62014</v>
      </c>
      <c r="N14" s="9">
        <f t="shared" si="2"/>
        <v>62014</v>
      </c>
      <c r="O14" s="9">
        <f t="shared" si="3"/>
        <v>0</v>
      </c>
      <c r="P14" s="7">
        <f>M14/M24*I24</f>
        <v>8447.4384511058925</v>
      </c>
    </row>
    <row r="15" spans="1:16" s="7" customFormat="1" ht="29.25" customHeight="1">
      <c r="A15" s="11"/>
      <c r="B15" s="160"/>
      <c r="C15" s="160" t="s">
        <v>105</v>
      </c>
      <c r="D15" s="160"/>
      <c r="E15" s="59">
        <f t="shared" ref="E15:H15" si="5">SUBTOTAL(9,E12:E14)</f>
        <v>353062</v>
      </c>
      <c r="F15" s="59">
        <f t="shared" si="5"/>
        <v>177905</v>
      </c>
      <c r="G15" s="59">
        <f t="shared" si="5"/>
        <v>1500</v>
      </c>
      <c r="H15" s="59">
        <f t="shared" si="5"/>
        <v>17135</v>
      </c>
      <c r="I15" s="60">
        <f>SUBTOTAL(9,I12:I14)</f>
        <v>21321</v>
      </c>
      <c r="J15" s="59">
        <f>SUBTOTAL(9,J12:J14)</f>
        <v>135201</v>
      </c>
      <c r="M15" s="9">
        <f t="shared" si="1"/>
        <v>156522</v>
      </c>
      <c r="N15" s="9">
        <f t="shared" si="2"/>
        <v>156522</v>
      </c>
      <c r="O15" s="9">
        <f t="shared" si="3"/>
        <v>0</v>
      </c>
      <c r="P15" s="7">
        <f>M15/M24*I24</f>
        <v>21321.152663011519</v>
      </c>
    </row>
    <row r="16" spans="1:16" s="7" customFormat="1" ht="29.25" customHeight="1">
      <c r="A16" s="11"/>
      <c r="B16" s="160" t="s">
        <v>17</v>
      </c>
      <c r="C16" s="161" t="s">
        <v>19</v>
      </c>
      <c r="D16" s="161"/>
      <c r="E16" s="59">
        <f>ROUND('R05決算内訳'!D34,-3)/1000</f>
        <v>26604</v>
      </c>
      <c r="F16" s="59">
        <f>ROUND('R05決算内訳'!F34,-3)/1000</f>
        <v>14873</v>
      </c>
      <c r="G16" s="59">
        <f>ROUND('R05決算内訳'!G34,-3)/1000</f>
        <v>0</v>
      </c>
      <c r="H16" s="59">
        <f>ROUND('R05決算内訳'!H34,-3)/1000</f>
        <v>0</v>
      </c>
      <c r="I16" s="60">
        <f>ROUND(I4/M24*M16,0)</f>
        <v>1598</v>
      </c>
      <c r="J16" s="59">
        <f>E16-(F16+G16+H16+I16)</f>
        <v>10133</v>
      </c>
      <c r="M16" s="9">
        <f t="shared" si="1"/>
        <v>11731</v>
      </c>
      <c r="N16" s="9">
        <f t="shared" si="2"/>
        <v>11731</v>
      </c>
      <c r="O16" s="9">
        <f t="shared" si="3"/>
        <v>0</v>
      </c>
      <c r="P16" s="7">
        <f>M16/M24*I24</f>
        <v>1597.9762710020836</v>
      </c>
    </row>
    <row r="17" spans="1:16" s="7" customFormat="1" ht="29.25" customHeight="1">
      <c r="A17" s="11"/>
      <c r="B17" s="160"/>
      <c r="C17" s="161" t="s">
        <v>20</v>
      </c>
      <c r="D17" s="161"/>
      <c r="E17" s="59">
        <f>ROUND('R05決算内訳'!D36,-3)/1000</f>
        <v>55839</v>
      </c>
      <c r="F17" s="59">
        <f>ROUND('R05決算内訳'!F36,-3)/1000</f>
        <v>4716</v>
      </c>
      <c r="G17" s="59">
        <f>ROUND('R05決算内訳'!G36,-3)/1000</f>
        <v>0</v>
      </c>
      <c r="H17" s="59">
        <f>ROUND('R05決算内訳'!H36,-3)/1000</f>
        <v>0</v>
      </c>
      <c r="I17" s="60">
        <f>ROUND(I4/M24*M17,0)</f>
        <v>6964</v>
      </c>
      <c r="J17" s="59">
        <f t="shared" ref="J17:J18" si="6">E17-(F17+G17+H17+I17)</f>
        <v>44159</v>
      </c>
      <c r="M17" s="9">
        <f t="shared" si="1"/>
        <v>51123</v>
      </c>
      <c r="N17" s="9">
        <f t="shared" si="2"/>
        <v>51123</v>
      </c>
      <c r="O17" s="9">
        <f t="shared" si="3"/>
        <v>0</v>
      </c>
      <c r="P17" s="7">
        <f>M17/M24*I24</f>
        <v>6963.8855086897556</v>
      </c>
    </row>
    <row r="18" spans="1:16" s="7" customFormat="1" ht="29.25" customHeight="1">
      <c r="A18" s="11"/>
      <c r="B18" s="160"/>
      <c r="C18" s="161" t="s">
        <v>21</v>
      </c>
      <c r="D18" s="161"/>
      <c r="E18" s="59">
        <f>ROUND('R05決算内訳'!D38,-3)/1000</f>
        <v>69770</v>
      </c>
      <c r="F18" s="59">
        <f>ROUND('R05決算内訳'!F38,-3)/1000</f>
        <v>10025</v>
      </c>
      <c r="G18" s="59">
        <f>ROUND('R05決算内訳'!G38,-3)/1000</f>
        <v>0</v>
      </c>
      <c r="H18" s="59">
        <f>ROUND('R05決算内訳'!H38,-3)/1000</f>
        <v>0</v>
      </c>
      <c r="I18" s="60">
        <f>ROUND(I4/M24*M18,0)</f>
        <v>8138</v>
      </c>
      <c r="J18" s="59">
        <f t="shared" si="6"/>
        <v>51607</v>
      </c>
      <c r="M18" s="9">
        <f t="shared" si="1"/>
        <v>59745</v>
      </c>
      <c r="N18" s="9">
        <f>I18+J18</f>
        <v>59745</v>
      </c>
      <c r="O18" s="9">
        <f t="shared" si="3"/>
        <v>0</v>
      </c>
      <c r="P18" s="7">
        <f>M18/M24*I24</f>
        <v>8138.3592456755168</v>
      </c>
    </row>
    <row r="19" spans="1:16" s="7" customFormat="1" ht="29.25" customHeight="1">
      <c r="A19" s="11"/>
      <c r="B19" s="160"/>
      <c r="C19" s="160" t="s">
        <v>105</v>
      </c>
      <c r="D19" s="160"/>
      <c r="E19" s="59">
        <f t="shared" ref="E19:H19" si="7">SUBTOTAL(9,E16:E18)</f>
        <v>152213</v>
      </c>
      <c r="F19" s="59">
        <f t="shared" si="7"/>
        <v>29614</v>
      </c>
      <c r="G19" s="59">
        <f t="shared" si="7"/>
        <v>0</v>
      </c>
      <c r="H19" s="59">
        <f t="shared" si="7"/>
        <v>0</v>
      </c>
      <c r="I19" s="60">
        <f>SUBTOTAL(9,I16:I18)</f>
        <v>16700</v>
      </c>
      <c r="J19" s="59">
        <f>SUBTOTAL(9,J16:J18)</f>
        <v>105899</v>
      </c>
      <c r="M19" s="9">
        <f t="shared" si="1"/>
        <v>122599</v>
      </c>
      <c r="N19" s="9">
        <f t="shared" si="2"/>
        <v>122599</v>
      </c>
      <c r="O19" s="9">
        <f t="shared" si="3"/>
        <v>0</v>
      </c>
      <c r="P19" s="7">
        <f>M19/M24*I24</f>
        <v>16700.221025367358</v>
      </c>
    </row>
    <row r="20" spans="1:16" s="7" customFormat="1" ht="29.25" customHeight="1">
      <c r="A20" s="11"/>
      <c r="B20" s="160" t="s">
        <v>18</v>
      </c>
      <c r="C20" s="161" t="s">
        <v>23</v>
      </c>
      <c r="D20" s="161"/>
      <c r="E20" s="59">
        <f>ROUND('R05決算内訳'!D42,-3)/1000</f>
        <v>10162</v>
      </c>
      <c r="F20" s="59">
        <f>ROUND('R05決算内訳'!F42,-3)/1000</f>
        <v>1932</v>
      </c>
      <c r="G20" s="59">
        <f>ROUND('R05決算内訳'!G42,-3)/1000</f>
        <v>4500</v>
      </c>
      <c r="H20" s="59">
        <f>ROUND('R05決算内訳'!H42,-3)/1000</f>
        <v>0</v>
      </c>
      <c r="I20" s="60">
        <f>ROUND(I4/M24*M20,0)</f>
        <v>508</v>
      </c>
      <c r="J20" s="59">
        <f>E20-(F20+G20+H20+I20)</f>
        <v>3222</v>
      </c>
      <c r="M20" s="9">
        <f>E20-(SUM(F20,G20,H20))</f>
        <v>3730</v>
      </c>
      <c r="N20" s="9">
        <f t="shared" si="2"/>
        <v>3730</v>
      </c>
      <c r="O20" s="9">
        <f t="shared" si="3"/>
        <v>0</v>
      </c>
      <c r="P20" s="7">
        <f>M20/M24*I24</f>
        <v>508.0940662209336</v>
      </c>
    </row>
    <row r="21" spans="1:16" s="7" customFormat="1" ht="29.25" customHeight="1">
      <c r="A21" s="11"/>
      <c r="B21" s="160"/>
      <c r="C21" s="161" t="s">
        <v>26</v>
      </c>
      <c r="D21" s="161"/>
      <c r="E21" s="59">
        <f>ROUND('R05決算内訳'!D46,-3)/1000</f>
        <v>6347</v>
      </c>
      <c r="F21" s="59">
        <f>ROUND('R05決算内訳'!F46,-3)/1000</f>
        <v>88</v>
      </c>
      <c r="G21" s="59">
        <f>ROUND('R05決算内訳'!G46,-3)/1000</f>
        <v>0</v>
      </c>
      <c r="H21" s="59">
        <f>ROUND('R05決算内訳'!H46,-3)/1000</f>
        <v>0</v>
      </c>
      <c r="I21" s="60">
        <f>ROUND(I4/M24*M21,0)</f>
        <v>853</v>
      </c>
      <c r="J21" s="59">
        <f>E21-(F21+G21+H21+I21)</f>
        <v>5406</v>
      </c>
      <c r="M21" s="9">
        <f t="shared" si="1"/>
        <v>6259</v>
      </c>
      <c r="N21" s="9">
        <f t="shared" si="2"/>
        <v>6259</v>
      </c>
      <c r="O21" s="9">
        <f t="shared" si="3"/>
        <v>0</v>
      </c>
      <c r="P21" s="7">
        <f>M21/M24*I24</f>
        <v>852.59001621362563</v>
      </c>
    </row>
    <row r="22" spans="1:16" s="7" customFormat="1" ht="29.25" customHeight="1">
      <c r="A22" s="11"/>
      <c r="B22" s="160"/>
      <c r="C22" s="161" t="s">
        <v>27</v>
      </c>
      <c r="D22" s="161"/>
      <c r="E22" s="59">
        <f>ROUND('R05決算内訳'!D49,-3)/1000</f>
        <v>9639</v>
      </c>
      <c r="F22" s="59">
        <f>ROUND('R05決算内訳'!F49,-3)/1000</f>
        <v>876</v>
      </c>
      <c r="G22" s="59">
        <f>ROUND('R05決算内訳'!G49,-3)/1000</f>
        <v>0</v>
      </c>
      <c r="H22" s="59">
        <f>ROUND('R05決算内訳'!H49,-3)/1000+1</f>
        <v>3676</v>
      </c>
      <c r="I22" s="60">
        <f>ROUND(I4/M24*M22,0)</f>
        <v>693</v>
      </c>
      <c r="J22" s="59">
        <f t="shared" ref="J22" si="8">E22-(F22+G22+H22+I22)</f>
        <v>4394</v>
      </c>
      <c r="M22" s="9">
        <f t="shared" si="1"/>
        <v>5087</v>
      </c>
      <c r="N22" s="9">
        <f t="shared" si="2"/>
        <v>5087</v>
      </c>
      <c r="O22" s="9">
        <f t="shared" si="3"/>
        <v>0</v>
      </c>
      <c r="P22" s="7">
        <f>M22/M24*I24</f>
        <v>692.94222918656556</v>
      </c>
    </row>
    <row r="23" spans="1:16" s="7" customFormat="1" ht="29.25" customHeight="1">
      <c r="A23" s="11"/>
      <c r="B23" s="160"/>
      <c r="C23" s="160" t="s">
        <v>105</v>
      </c>
      <c r="D23" s="160"/>
      <c r="E23" s="59">
        <f t="shared" ref="E23:H23" si="9">SUBTOTAL(9,E20:E22)</f>
        <v>26148</v>
      </c>
      <c r="F23" s="59">
        <f t="shared" si="9"/>
        <v>2896</v>
      </c>
      <c r="G23" s="59">
        <f t="shared" si="9"/>
        <v>4500</v>
      </c>
      <c r="H23" s="59">
        <f t="shared" si="9"/>
        <v>3676</v>
      </c>
      <c r="I23" s="60">
        <f>SUBTOTAL(9,I20:I22)</f>
        <v>2054</v>
      </c>
      <c r="J23" s="59">
        <f>SUBTOTAL(9,J20:J22)</f>
        <v>13022</v>
      </c>
      <c r="M23" s="9">
        <f t="shared" si="1"/>
        <v>15076</v>
      </c>
      <c r="N23" s="9">
        <f t="shared" si="2"/>
        <v>15076</v>
      </c>
      <c r="O23" s="9">
        <f t="shared" si="3"/>
        <v>0</v>
      </c>
      <c r="P23" s="7">
        <f>M23/M24*I24</f>
        <v>2053.6263116211248</v>
      </c>
    </row>
    <row r="24" spans="1:16" s="7" customFormat="1" ht="29.25" customHeight="1">
      <c r="A24" s="11"/>
      <c r="B24" s="160" t="s">
        <v>106</v>
      </c>
      <c r="C24" s="160"/>
      <c r="D24" s="160"/>
      <c r="E24" s="59">
        <f>SUBTOTAL(9,E12:E23)</f>
        <v>531423</v>
      </c>
      <c r="F24" s="59">
        <f>SUBTOTAL(9,F12:F23)</f>
        <v>210415</v>
      </c>
      <c r="G24" s="59">
        <f t="shared" ref="G24:H24" si="10">SUBTOTAL(9,G12:G23)</f>
        <v>6000</v>
      </c>
      <c r="H24" s="59">
        <f t="shared" si="10"/>
        <v>20811</v>
      </c>
      <c r="I24" s="60">
        <f>SUBTOTAL(9,I12:I23)</f>
        <v>40075</v>
      </c>
      <c r="J24" s="59">
        <f>SUBTOTAL(9,J12:J23)</f>
        <v>254122</v>
      </c>
      <c r="M24" s="9">
        <f>E24-(SUM(F24,G24,H24))</f>
        <v>294197</v>
      </c>
      <c r="N24" s="9">
        <f>I24+J24</f>
        <v>294197</v>
      </c>
      <c r="O24" s="9">
        <f t="shared" si="3"/>
        <v>0</v>
      </c>
      <c r="P24" s="7">
        <f>M24/M24*I24</f>
        <v>40075</v>
      </c>
    </row>
    <row r="25" spans="1:16" ht="29.25" customHeight="1">
      <c r="B25" s="7" t="s">
        <v>30</v>
      </c>
      <c r="I25" s="71"/>
    </row>
    <row r="26" spans="1:16" ht="21.75" customHeight="1">
      <c r="I26" s="9"/>
      <c r="J26" s="9"/>
    </row>
    <row r="27" spans="1:16" ht="21.75" customHeight="1">
      <c r="F27" s="59">
        <f>ROUND('R05決算内訳'!F54,-3)/1000</f>
        <v>210415</v>
      </c>
      <c r="G27" s="59">
        <f>ROUND('R05決算内訳'!G54,-3)/1000</f>
        <v>6000</v>
      </c>
      <c r="H27" s="59">
        <f>ROUND('R05決算内訳'!H54,-3)/1000</f>
        <v>20811</v>
      </c>
    </row>
  </sheetData>
  <mergeCells count="23">
    <mergeCell ref="B1:J2"/>
    <mergeCell ref="B9:B11"/>
    <mergeCell ref="C9:D11"/>
    <mergeCell ref="E9:E11"/>
    <mergeCell ref="F9:J9"/>
    <mergeCell ref="F10:H10"/>
    <mergeCell ref="I10:J10"/>
    <mergeCell ref="B24:D24"/>
    <mergeCell ref="B12:B15"/>
    <mergeCell ref="C12:D12"/>
    <mergeCell ref="C13:D13"/>
    <mergeCell ref="C14:D14"/>
    <mergeCell ref="C15:D15"/>
    <mergeCell ref="B16:B19"/>
    <mergeCell ref="C16:D16"/>
    <mergeCell ref="C17:D17"/>
    <mergeCell ref="C18:D18"/>
    <mergeCell ref="C19:D19"/>
    <mergeCell ref="B20:B23"/>
    <mergeCell ref="C20:D20"/>
    <mergeCell ref="C21:D21"/>
    <mergeCell ref="C22:D22"/>
    <mergeCell ref="C23:D23"/>
  </mergeCells>
  <phoneticPr fontId="2"/>
  <conditionalFormatting sqref="I25">
    <cfRule type="containsText" dxfId="8" priority="5" operator="containsText" text="↑調整必要！！">
      <formula>NOT(ISERROR(SEARCH("↑調整必要！！",I25)))</formula>
    </cfRule>
  </conditionalFormatting>
  <conditionalFormatting sqref="E8:I8">
    <cfRule type="containsText" dxfId="7" priority="1" operator="containsText" text="調整">
      <formula>NOT(ISERROR(SEARCH("調整",E8)))</formula>
    </cfRule>
    <cfRule type="containsText" dxfId="6" priority="2" operator="containsText" text="↑調整必要！！">
      <formula>NOT(ISERROR(SEARCH("↑調整必要！！",E8)))</formula>
    </cfRule>
  </conditionalFormatting>
  <pageMargins left="0.19685039370078741" right="0.70866141732283472" top="0.74803149606299213" bottom="0.74803149606299213" header="0.31496062992125984" footer="0.31496062992125984"/>
  <pageSetup paperSize="9" scale="72" fitToHeight="0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4"/>
  <sheetViews>
    <sheetView zoomScale="80" zoomScaleNormal="80" workbookViewId="0">
      <pane ySplit="3" topLeftCell="A4" activePane="bottomLeft" state="frozen"/>
      <selection pane="bottomLeft" activeCell="D54" sqref="D54"/>
    </sheetView>
  </sheetViews>
  <sheetFormatPr defaultRowHeight="16.5" customHeight="1"/>
  <cols>
    <col min="1" max="1" width="10.75" style="1" customWidth="1"/>
    <col min="2" max="2" width="22.875" style="1" customWidth="1"/>
    <col min="3" max="3" width="47.375" style="14" customWidth="1"/>
    <col min="4" max="4" width="13.75" style="15" customWidth="1"/>
    <col min="5" max="5" width="42.375" style="1" customWidth="1"/>
    <col min="6" max="9" width="13.5" style="15" customWidth="1"/>
    <col min="10" max="10" width="15.75" style="15" customWidth="1"/>
    <col min="11" max="16384" width="9" style="1"/>
  </cols>
  <sheetData>
    <row r="1" spans="1:11" ht="16.5" customHeight="1">
      <c r="A1" s="13" t="s">
        <v>119</v>
      </c>
    </row>
    <row r="2" spans="1:11" ht="16.5" customHeight="1">
      <c r="J2" s="16" t="s">
        <v>87</v>
      </c>
    </row>
    <row r="3" spans="1:11" ht="16.5" customHeight="1">
      <c r="A3" s="17" t="s">
        <v>5</v>
      </c>
      <c r="B3" s="17" t="s">
        <v>6</v>
      </c>
      <c r="C3" s="18" t="s">
        <v>71</v>
      </c>
      <c r="D3" s="19" t="s">
        <v>46</v>
      </c>
      <c r="E3" s="17" t="s">
        <v>6</v>
      </c>
      <c r="F3" s="19" t="s">
        <v>7</v>
      </c>
      <c r="G3" s="19" t="s">
        <v>8</v>
      </c>
      <c r="H3" s="19" t="s">
        <v>9</v>
      </c>
      <c r="I3" s="19" t="s">
        <v>11</v>
      </c>
      <c r="J3" s="20" t="s">
        <v>44</v>
      </c>
    </row>
    <row r="4" spans="1:11" ht="16.5" customHeight="1">
      <c r="A4" s="45" t="s">
        <v>16</v>
      </c>
      <c r="B4" s="46"/>
      <c r="C4" s="47"/>
      <c r="D4" s="42">
        <f>SUM(D5,D11,D24)</f>
        <v>353062163</v>
      </c>
      <c r="E4" s="43" t="s">
        <v>90</v>
      </c>
      <c r="F4" s="42">
        <f>SUM(F5,F11,F24)</f>
        <v>177905649</v>
      </c>
      <c r="G4" s="42">
        <f>SUM(G5,G11,G24)</f>
        <v>1500000</v>
      </c>
      <c r="H4" s="42">
        <f>SUM(H5,H11,H24)</f>
        <v>17135114</v>
      </c>
      <c r="I4" s="42">
        <f>SUM(I5,I11,I24)</f>
        <v>156521400</v>
      </c>
      <c r="J4" s="42">
        <f>SUM(J5,J11,J24)</f>
        <v>353062163</v>
      </c>
      <c r="K4" s="58"/>
    </row>
    <row r="5" spans="1:11" ht="16.5" customHeight="1">
      <c r="A5" s="45"/>
      <c r="B5" s="56" t="s">
        <v>28</v>
      </c>
      <c r="C5" s="32" t="s">
        <v>68</v>
      </c>
      <c r="D5" s="33">
        <f>SUM(J5)</f>
        <v>192589571</v>
      </c>
      <c r="E5" s="55" t="s">
        <v>91</v>
      </c>
      <c r="F5" s="24">
        <f>SUM(F6:F10)</f>
        <v>142688000</v>
      </c>
      <c r="G5" s="24">
        <f>SUM(G6:G10)</f>
        <v>0</v>
      </c>
      <c r="H5" s="24">
        <f>SUM(H6:H10)</f>
        <v>509495</v>
      </c>
      <c r="I5" s="24">
        <f t="shared" ref="I5:J5" si="0">SUM(I6:I10)</f>
        <v>49392076</v>
      </c>
      <c r="J5" s="24">
        <f t="shared" si="0"/>
        <v>192589571</v>
      </c>
      <c r="K5" s="58"/>
    </row>
    <row r="6" spans="1:11" ht="16.5" customHeight="1">
      <c r="A6" s="45"/>
      <c r="B6" s="21"/>
      <c r="C6" s="22"/>
      <c r="D6" s="25"/>
      <c r="E6" s="26" t="s">
        <v>40</v>
      </c>
      <c r="F6" s="27">
        <v>2072000</v>
      </c>
      <c r="G6" s="27"/>
      <c r="H6" s="27">
        <v>509495</v>
      </c>
      <c r="I6" s="24">
        <f>J6-SUM(F6,G6,H6)</f>
        <v>2409307</v>
      </c>
      <c r="J6" s="27">
        <v>4990802</v>
      </c>
    </row>
    <row r="7" spans="1:11" ht="16.5" customHeight="1">
      <c r="A7" s="45"/>
      <c r="B7" s="21"/>
      <c r="C7" s="22"/>
      <c r="D7" s="25"/>
      <c r="E7" s="26" t="s">
        <v>45</v>
      </c>
      <c r="F7" s="27"/>
      <c r="G7" s="27"/>
      <c r="H7" s="27"/>
      <c r="I7" s="24">
        <f>J7-SUM(F7,G7,H7)</f>
        <v>72550</v>
      </c>
      <c r="J7" s="27">
        <v>72550</v>
      </c>
    </row>
    <row r="8" spans="1:11" ht="16.5" customHeight="1">
      <c r="A8" s="45"/>
      <c r="B8" s="21"/>
      <c r="C8" s="22"/>
      <c r="D8" s="25"/>
      <c r="E8" s="28" t="s">
        <v>41</v>
      </c>
      <c r="F8" s="27">
        <v>138642000</v>
      </c>
      <c r="G8" s="27"/>
      <c r="H8" s="27"/>
      <c r="I8" s="24">
        <f t="shared" ref="I8:I9" si="1">J8-SUM(F8,G8,H8)</f>
        <v>39678421</v>
      </c>
      <c r="J8" s="27">
        <v>178320421</v>
      </c>
    </row>
    <row r="9" spans="1:11" ht="16.5" customHeight="1">
      <c r="A9" s="45"/>
      <c r="B9" s="21"/>
      <c r="C9" s="22"/>
      <c r="D9" s="25"/>
      <c r="E9" s="26" t="s">
        <v>42</v>
      </c>
      <c r="F9" s="27">
        <v>760000</v>
      </c>
      <c r="G9" s="27"/>
      <c r="H9" s="27"/>
      <c r="I9" s="24">
        <f t="shared" si="1"/>
        <v>4898</v>
      </c>
      <c r="J9" s="27">
        <v>764898</v>
      </c>
    </row>
    <row r="10" spans="1:11" ht="16.5" customHeight="1">
      <c r="A10" s="45"/>
      <c r="B10" s="21"/>
      <c r="C10" s="22"/>
      <c r="D10" s="25"/>
      <c r="E10" s="29" t="s">
        <v>43</v>
      </c>
      <c r="F10" s="30">
        <v>1214000</v>
      </c>
      <c r="G10" s="30"/>
      <c r="H10" s="30"/>
      <c r="I10" s="31">
        <f>J10-SUM(F10,G10,H10)</f>
        <v>7226900</v>
      </c>
      <c r="J10" s="30">
        <v>8440900</v>
      </c>
    </row>
    <row r="11" spans="1:11" ht="16.5" customHeight="1">
      <c r="A11" s="45"/>
      <c r="B11" s="56" t="s">
        <v>24</v>
      </c>
      <c r="C11" s="32" t="s">
        <v>69</v>
      </c>
      <c r="D11" s="33">
        <f>SUM(J11)</f>
        <v>47832418</v>
      </c>
      <c r="E11" s="55" t="s">
        <v>91</v>
      </c>
      <c r="F11" s="24">
        <f>SUM(F12:F23)</f>
        <v>146380</v>
      </c>
      <c r="G11" s="24">
        <f>SUM(G12:G23)</f>
        <v>1500000</v>
      </c>
      <c r="H11" s="24">
        <f>SUM(H12:H23)</f>
        <v>1070319</v>
      </c>
      <c r="I11" s="24">
        <f>SUM(I12:I23)</f>
        <v>45115719</v>
      </c>
      <c r="J11" s="24">
        <f>SUM(J12:J23)</f>
        <v>47832418</v>
      </c>
      <c r="K11" s="58"/>
    </row>
    <row r="12" spans="1:11" ht="16.5" customHeight="1">
      <c r="A12" s="45"/>
      <c r="B12" s="21"/>
      <c r="C12" s="22"/>
      <c r="D12" s="25"/>
      <c r="E12" s="26" t="s">
        <v>47</v>
      </c>
      <c r="F12" s="27"/>
      <c r="G12" s="27"/>
      <c r="H12" s="27">
        <v>864148</v>
      </c>
      <c r="I12" s="31">
        <f t="shared" ref="I12:I35" si="2">J12-SUM(F12,G12,H12)</f>
        <v>16426444</v>
      </c>
      <c r="J12" s="27">
        <v>17290592</v>
      </c>
    </row>
    <row r="13" spans="1:11" ht="16.5" customHeight="1">
      <c r="A13" s="45"/>
      <c r="B13" s="21"/>
      <c r="C13" s="22"/>
      <c r="D13" s="25"/>
      <c r="E13" s="26" t="s">
        <v>48</v>
      </c>
      <c r="F13" s="27"/>
      <c r="G13" s="27"/>
      <c r="H13" s="27">
        <v>28953</v>
      </c>
      <c r="I13" s="31">
        <f t="shared" si="2"/>
        <v>410027</v>
      </c>
      <c r="J13" s="27">
        <v>438980</v>
      </c>
    </row>
    <row r="14" spans="1:11" ht="16.5" customHeight="1">
      <c r="A14" s="45"/>
      <c r="B14" s="21"/>
      <c r="C14" s="22"/>
      <c r="D14" s="25"/>
      <c r="E14" s="26" t="s">
        <v>49</v>
      </c>
      <c r="F14" s="27"/>
      <c r="G14" s="27"/>
      <c r="H14" s="27">
        <v>127770</v>
      </c>
      <c r="I14" s="31">
        <f t="shared" si="2"/>
        <v>19055230</v>
      </c>
      <c r="J14" s="27">
        <v>19183000</v>
      </c>
    </row>
    <row r="15" spans="1:11" ht="16.5" customHeight="1">
      <c r="A15" s="45"/>
      <c r="B15" s="21"/>
      <c r="C15" s="22"/>
      <c r="D15" s="25"/>
      <c r="E15" s="26" t="s">
        <v>50</v>
      </c>
      <c r="F15" s="27"/>
      <c r="G15" s="27"/>
      <c r="H15" s="27">
        <v>22448</v>
      </c>
      <c r="I15" s="31">
        <f t="shared" si="2"/>
        <v>7327552</v>
      </c>
      <c r="J15" s="27">
        <v>7350000</v>
      </c>
    </row>
    <row r="16" spans="1:11" ht="16.5" customHeight="1">
      <c r="A16" s="45"/>
      <c r="B16" s="21"/>
      <c r="C16" s="22"/>
      <c r="D16" s="25"/>
      <c r="E16" s="26" t="s">
        <v>51</v>
      </c>
      <c r="F16" s="27"/>
      <c r="G16" s="27"/>
      <c r="H16" s="27"/>
      <c r="I16" s="31">
        <f t="shared" si="2"/>
        <v>577332</v>
      </c>
      <c r="J16" s="27">
        <v>577332</v>
      </c>
    </row>
    <row r="17" spans="1:11" ht="16.5" customHeight="1">
      <c r="A17" s="45"/>
      <c r="B17" s="21"/>
      <c r="C17" s="22"/>
      <c r="D17" s="25"/>
      <c r="E17" s="26" t="s">
        <v>52</v>
      </c>
      <c r="F17" s="27"/>
      <c r="G17" s="27">
        <v>200000</v>
      </c>
      <c r="H17" s="27">
        <v>27000</v>
      </c>
      <c r="I17" s="31">
        <f t="shared" si="2"/>
        <v>69582</v>
      </c>
      <c r="J17" s="27">
        <v>296582</v>
      </c>
    </row>
    <row r="18" spans="1:11" ht="16.5" customHeight="1">
      <c r="A18" s="45"/>
      <c r="B18" s="21"/>
      <c r="C18" s="22"/>
      <c r="D18" s="25"/>
      <c r="E18" s="26" t="s">
        <v>53</v>
      </c>
      <c r="F18" s="27"/>
      <c r="G18" s="27"/>
      <c r="H18" s="27"/>
      <c r="I18" s="31">
        <f t="shared" si="2"/>
        <v>8000</v>
      </c>
      <c r="J18" s="27">
        <v>8000</v>
      </c>
    </row>
    <row r="19" spans="1:11" ht="16.5" customHeight="1">
      <c r="A19" s="45"/>
      <c r="B19" s="21"/>
      <c r="C19" s="22"/>
      <c r="D19" s="25"/>
      <c r="E19" s="26" t="s">
        <v>54</v>
      </c>
      <c r="F19" s="27"/>
      <c r="G19" s="27"/>
      <c r="H19" s="27"/>
      <c r="I19" s="31">
        <f t="shared" si="2"/>
        <v>571932</v>
      </c>
      <c r="J19" s="27">
        <v>571932</v>
      </c>
    </row>
    <row r="20" spans="1:11" ht="16.5" customHeight="1">
      <c r="A20" s="45"/>
      <c r="B20" s="21"/>
      <c r="C20" s="22"/>
      <c r="D20" s="25"/>
      <c r="E20" s="26" t="s">
        <v>55</v>
      </c>
      <c r="F20" s="27">
        <v>146380</v>
      </c>
      <c r="G20" s="27"/>
      <c r="H20" s="27"/>
      <c r="I20" s="31">
        <f t="shared" si="2"/>
        <v>583620</v>
      </c>
      <c r="J20" s="27">
        <v>730000</v>
      </c>
    </row>
    <row r="21" spans="1:11" ht="16.5" customHeight="1">
      <c r="A21" s="45"/>
      <c r="B21" s="21"/>
      <c r="C21" s="22"/>
      <c r="D21" s="25"/>
      <c r="E21" s="26" t="s">
        <v>56</v>
      </c>
      <c r="F21" s="27"/>
      <c r="G21" s="27"/>
      <c r="H21" s="27"/>
      <c r="I21" s="31">
        <f t="shared" si="2"/>
        <v>0</v>
      </c>
      <c r="J21" s="27">
        <v>0</v>
      </c>
    </row>
    <row r="22" spans="1:11" ht="16.5" customHeight="1">
      <c r="A22" s="45"/>
      <c r="B22" s="21"/>
      <c r="C22" s="22"/>
      <c r="D22" s="25"/>
      <c r="E22" s="26" t="s">
        <v>57</v>
      </c>
      <c r="F22" s="27"/>
      <c r="G22" s="27">
        <v>1300000</v>
      </c>
      <c r="H22" s="27"/>
      <c r="I22" s="31">
        <f t="shared" si="2"/>
        <v>86000</v>
      </c>
      <c r="J22" s="27">
        <v>1386000</v>
      </c>
    </row>
    <row r="23" spans="1:11" ht="16.5" customHeight="1">
      <c r="A23" s="45"/>
      <c r="B23" s="21"/>
      <c r="C23" s="22"/>
      <c r="D23" s="25"/>
      <c r="E23" s="29" t="s">
        <v>59</v>
      </c>
      <c r="F23" s="27"/>
      <c r="G23" s="27"/>
      <c r="H23" s="27"/>
      <c r="I23" s="31">
        <f t="shared" si="2"/>
        <v>0</v>
      </c>
      <c r="J23" s="27">
        <v>0</v>
      </c>
    </row>
    <row r="24" spans="1:11" ht="16.5" customHeight="1">
      <c r="A24" s="45"/>
      <c r="B24" s="56" t="s">
        <v>25</v>
      </c>
      <c r="C24" s="32" t="s">
        <v>70</v>
      </c>
      <c r="D24" s="33">
        <f>SUM(J24)</f>
        <v>112640174</v>
      </c>
      <c r="E24" s="55" t="s">
        <v>91</v>
      </c>
      <c r="F24" s="24">
        <f>SUM(F25:F32)</f>
        <v>35071269</v>
      </c>
      <c r="G24" s="24">
        <f>SUM(G25:G32)</f>
        <v>0</v>
      </c>
      <c r="H24" s="24">
        <f>SUM(H25:H32)</f>
        <v>15555300</v>
      </c>
      <c r="I24" s="24">
        <f>SUM(I25:I32)</f>
        <v>62013605</v>
      </c>
      <c r="J24" s="24">
        <f>SUM(J25:J32)</f>
        <v>112640174</v>
      </c>
      <c r="K24" s="58"/>
    </row>
    <row r="25" spans="1:11" ht="16.5" customHeight="1">
      <c r="A25" s="45"/>
      <c r="B25" s="21"/>
      <c r="C25" s="22"/>
      <c r="D25" s="25"/>
      <c r="E25" s="28" t="s">
        <v>60</v>
      </c>
      <c r="F25" s="27">
        <v>21594330</v>
      </c>
      <c r="G25" s="27"/>
      <c r="H25" s="27"/>
      <c r="I25" s="31">
        <f t="shared" si="2"/>
        <v>3992168</v>
      </c>
      <c r="J25" s="27">
        <v>25586498</v>
      </c>
    </row>
    <row r="26" spans="1:11" ht="16.5" customHeight="1">
      <c r="A26" s="45"/>
      <c r="B26" s="21"/>
      <c r="C26" s="22"/>
      <c r="D26" s="25"/>
      <c r="E26" s="28" t="s">
        <v>112</v>
      </c>
      <c r="F26" s="27"/>
      <c r="G26" s="27"/>
      <c r="H26" s="27"/>
      <c r="I26" s="31">
        <f t="shared" si="2"/>
        <v>3459626</v>
      </c>
      <c r="J26" s="27">
        <v>3459626</v>
      </c>
    </row>
    <row r="27" spans="1:11" ht="16.5" customHeight="1">
      <c r="A27" s="45"/>
      <c r="B27" s="21"/>
      <c r="C27" s="22"/>
      <c r="D27" s="25"/>
      <c r="E27" s="28" t="s">
        <v>61</v>
      </c>
      <c r="F27" s="27">
        <v>8203939</v>
      </c>
      <c r="G27" s="27"/>
      <c r="H27" s="27">
        <v>15555300</v>
      </c>
      <c r="I27" s="31">
        <f t="shared" si="2"/>
        <v>50538066</v>
      </c>
      <c r="J27" s="27">
        <v>74297305</v>
      </c>
    </row>
    <row r="28" spans="1:11" ht="16.5" customHeight="1">
      <c r="A28" s="45"/>
      <c r="B28" s="21"/>
      <c r="C28" s="22"/>
      <c r="D28" s="25"/>
      <c r="E28" s="70" t="s">
        <v>121</v>
      </c>
      <c r="F28" s="27">
        <v>824000</v>
      </c>
      <c r="G28" s="27"/>
      <c r="H28" s="27"/>
      <c r="I28" s="31">
        <f t="shared" si="2"/>
        <v>168898</v>
      </c>
      <c r="J28" s="27">
        <v>992898</v>
      </c>
    </row>
    <row r="29" spans="1:11" ht="16.5" customHeight="1">
      <c r="A29" s="45"/>
      <c r="B29" s="21"/>
      <c r="C29" s="22"/>
      <c r="D29" s="25"/>
      <c r="E29" s="70" t="s">
        <v>122</v>
      </c>
      <c r="F29" s="27">
        <v>3958000</v>
      </c>
      <c r="G29" s="27"/>
      <c r="H29" s="27"/>
      <c r="I29" s="31">
        <f t="shared" si="2"/>
        <v>3301777</v>
      </c>
      <c r="J29" s="27">
        <v>7259777</v>
      </c>
    </row>
    <row r="30" spans="1:11" ht="16.5" customHeight="1">
      <c r="A30" s="45"/>
      <c r="B30" s="21"/>
      <c r="C30" s="22"/>
      <c r="D30" s="25"/>
      <c r="E30" s="68" t="s">
        <v>123</v>
      </c>
      <c r="F30" s="27">
        <v>51000</v>
      </c>
      <c r="G30" s="27"/>
      <c r="H30" s="27"/>
      <c r="I30" s="31">
        <f t="shared" si="2"/>
        <v>111600</v>
      </c>
      <c r="J30" s="27">
        <v>162600</v>
      </c>
    </row>
    <row r="31" spans="1:11" ht="16.5" customHeight="1">
      <c r="A31" s="45"/>
      <c r="B31" s="21"/>
      <c r="C31" s="22"/>
      <c r="D31" s="25"/>
      <c r="E31" s="68" t="s">
        <v>124</v>
      </c>
      <c r="F31" s="27">
        <v>440000</v>
      </c>
      <c r="G31" s="27"/>
      <c r="H31" s="27"/>
      <c r="I31" s="31">
        <f t="shared" si="2"/>
        <v>293829</v>
      </c>
      <c r="J31" s="27">
        <v>733829</v>
      </c>
    </row>
    <row r="32" spans="1:11" ht="16.5" customHeight="1">
      <c r="A32" s="48"/>
      <c r="B32" s="34"/>
      <c r="C32" s="35"/>
      <c r="D32" s="36"/>
      <c r="E32" s="28" t="s">
        <v>62</v>
      </c>
      <c r="F32" s="27"/>
      <c r="G32" s="27"/>
      <c r="H32" s="27"/>
      <c r="I32" s="24">
        <f t="shared" si="2"/>
        <v>147641</v>
      </c>
      <c r="J32" s="27">
        <v>147641</v>
      </c>
    </row>
    <row r="33" spans="1:11" ht="16.5" customHeight="1">
      <c r="A33" s="45" t="s">
        <v>89</v>
      </c>
      <c r="B33" s="49"/>
      <c r="C33" s="50"/>
      <c r="D33" s="44">
        <f>SUM(D34,D36,D38)</f>
        <v>152212724</v>
      </c>
      <c r="E33" s="43" t="s">
        <v>90</v>
      </c>
      <c r="F33" s="44">
        <f t="shared" ref="F33:J33" si="3">SUM(F34,F36,F38)</f>
        <v>29613431</v>
      </c>
      <c r="G33" s="44">
        <f t="shared" si="3"/>
        <v>0</v>
      </c>
      <c r="H33" s="44">
        <f t="shared" si="3"/>
        <v>0</v>
      </c>
      <c r="I33" s="44">
        <f>SUM(I34,I36,I38)</f>
        <v>122599293</v>
      </c>
      <c r="J33" s="44">
        <f t="shared" si="3"/>
        <v>152212724</v>
      </c>
      <c r="K33" s="58"/>
    </row>
    <row r="34" spans="1:11" ht="16.5" customHeight="1">
      <c r="A34" s="45"/>
      <c r="B34" s="56" t="s">
        <v>19</v>
      </c>
      <c r="C34" s="37" t="s">
        <v>31</v>
      </c>
      <c r="D34" s="31">
        <f>SUM(J34)</f>
        <v>26604127</v>
      </c>
      <c r="E34" s="55" t="s">
        <v>91</v>
      </c>
      <c r="F34" s="24">
        <f>SUM(F35)</f>
        <v>14873149</v>
      </c>
      <c r="G34" s="24">
        <f t="shared" ref="G34:J34" si="4">SUM(G35)</f>
        <v>0</v>
      </c>
      <c r="H34" s="24">
        <f t="shared" si="4"/>
        <v>0</v>
      </c>
      <c r="I34" s="24">
        <f t="shared" si="4"/>
        <v>11730978</v>
      </c>
      <c r="J34" s="24">
        <f t="shared" si="4"/>
        <v>26604127</v>
      </c>
      <c r="K34" s="58"/>
    </row>
    <row r="35" spans="1:11" ht="16.5" customHeight="1">
      <c r="A35" s="45"/>
      <c r="B35" s="34"/>
      <c r="C35" s="38"/>
      <c r="D35" s="39"/>
      <c r="E35" s="26" t="s">
        <v>63</v>
      </c>
      <c r="F35" s="27">
        <v>14873149</v>
      </c>
      <c r="G35" s="27"/>
      <c r="H35" s="27"/>
      <c r="I35" s="31">
        <f t="shared" si="2"/>
        <v>11730978</v>
      </c>
      <c r="J35" s="27">
        <v>26604127</v>
      </c>
    </row>
    <row r="36" spans="1:11" ht="16.5" customHeight="1">
      <c r="A36" s="45"/>
      <c r="B36" s="56" t="s">
        <v>20</v>
      </c>
      <c r="C36" s="32" t="s">
        <v>32</v>
      </c>
      <c r="D36" s="31">
        <f>SUM(J36)</f>
        <v>55839005</v>
      </c>
      <c r="E36" s="55" t="s">
        <v>91</v>
      </c>
      <c r="F36" s="24">
        <f>SUM(F37)</f>
        <v>4715575</v>
      </c>
      <c r="G36" s="24">
        <f>SUM(G37)</f>
        <v>0</v>
      </c>
      <c r="H36" s="24">
        <f t="shared" ref="H36:J36" si="5">SUM(H37)</f>
        <v>0</v>
      </c>
      <c r="I36" s="24">
        <f t="shared" si="5"/>
        <v>51123430</v>
      </c>
      <c r="J36" s="24">
        <f t="shared" si="5"/>
        <v>55839005</v>
      </c>
      <c r="K36" s="58"/>
    </row>
    <row r="37" spans="1:11" ht="16.5" customHeight="1">
      <c r="A37" s="45"/>
      <c r="B37" s="34"/>
      <c r="C37" s="35"/>
      <c r="D37" s="36"/>
      <c r="E37" s="26" t="s">
        <v>64</v>
      </c>
      <c r="F37" s="27">
        <v>4715575</v>
      </c>
      <c r="G37" s="27"/>
      <c r="H37" s="27"/>
      <c r="I37" s="31">
        <f t="shared" ref="I37" si="6">J37-SUM(F37,G37,H37)</f>
        <v>51123430</v>
      </c>
      <c r="J37" s="27">
        <v>55839005</v>
      </c>
    </row>
    <row r="38" spans="1:11" ht="16.5" customHeight="1">
      <c r="A38" s="45"/>
      <c r="B38" s="57" t="s">
        <v>21</v>
      </c>
      <c r="C38" s="22" t="s">
        <v>33</v>
      </c>
      <c r="D38" s="23">
        <f>SUM(J38)</f>
        <v>69769592</v>
      </c>
      <c r="E38" s="55" t="s">
        <v>91</v>
      </c>
      <c r="F38" s="24">
        <f>SUM(F39:F40)</f>
        <v>10024707</v>
      </c>
      <c r="G38" s="24">
        <f t="shared" ref="G38:J38" si="7">SUM(G39:G40)</f>
        <v>0</v>
      </c>
      <c r="H38" s="24">
        <f t="shared" si="7"/>
        <v>0</v>
      </c>
      <c r="I38" s="24">
        <f t="shared" si="7"/>
        <v>59744885</v>
      </c>
      <c r="J38" s="24">
        <f t="shared" si="7"/>
        <v>69769592</v>
      </c>
      <c r="K38" s="58"/>
    </row>
    <row r="39" spans="1:11" ht="16.5" customHeight="1">
      <c r="A39" s="45"/>
      <c r="B39" s="21"/>
      <c r="C39" s="22" t="s">
        <v>67</v>
      </c>
      <c r="D39" s="25"/>
      <c r="E39" s="26" t="s">
        <v>65</v>
      </c>
      <c r="F39" s="27"/>
      <c r="G39" s="27"/>
      <c r="H39" s="27"/>
      <c r="I39" s="31">
        <f t="shared" ref="I39:I53" si="8">J39-SUM(F39,G39,H39)</f>
        <v>53736315</v>
      </c>
      <c r="J39" s="27">
        <v>53736315</v>
      </c>
    </row>
    <row r="40" spans="1:11" ht="16.5" customHeight="1">
      <c r="A40" s="48"/>
      <c r="B40" s="34"/>
      <c r="C40" s="35"/>
      <c r="D40" s="36"/>
      <c r="E40" s="26" t="s">
        <v>66</v>
      </c>
      <c r="F40" s="27">
        <v>10024707</v>
      </c>
      <c r="G40" s="27"/>
      <c r="H40" s="27"/>
      <c r="I40" s="24">
        <f t="shared" si="8"/>
        <v>6008570</v>
      </c>
      <c r="J40" s="27">
        <v>16033277</v>
      </c>
    </row>
    <row r="41" spans="1:11" ht="16.5" customHeight="1">
      <c r="A41" s="45" t="s">
        <v>18</v>
      </c>
      <c r="B41" s="51"/>
      <c r="C41" s="50"/>
      <c r="D41" s="44">
        <f>SUM(D42,D46,D49)</f>
        <v>26148306</v>
      </c>
      <c r="E41" s="43" t="s">
        <v>90</v>
      </c>
      <c r="F41" s="44">
        <f t="shared" ref="F41:J41" si="9">SUM(F42,F46,F49)</f>
        <v>2896000</v>
      </c>
      <c r="G41" s="44">
        <f t="shared" si="9"/>
        <v>4500000</v>
      </c>
      <c r="H41" s="44">
        <f t="shared" si="9"/>
        <v>3675499</v>
      </c>
      <c r="I41" s="44">
        <f t="shared" si="9"/>
        <v>15076807</v>
      </c>
      <c r="J41" s="44">
        <f t="shared" si="9"/>
        <v>26148306</v>
      </c>
      <c r="K41" s="58"/>
    </row>
    <row r="42" spans="1:11" ht="16.5" customHeight="1">
      <c r="A42" s="54"/>
      <c r="B42" s="56" t="s">
        <v>34</v>
      </c>
      <c r="C42" s="32" t="s">
        <v>37</v>
      </c>
      <c r="D42" s="33">
        <f>SUM(J42)</f>
        <v>10162300</v>
      </c>
      <c r="E42" s="55" t="s">
        <v>91</v>
      </c>
      <c r="F42" s="24">
        <f>SUM(F43:F45)</f>
        <v>1932000</v>
      </c>
      <c r="G42" s="24">
        <f t="shared" ref="G42:J42" si="10">SUM(G43:G45)</f>
        <v>4500000</v>
      </c>
      <c r="H42" s="24">
        <f t="shared" si="10"/>
        <v>0</v>
      </c>
      <c r="I42" s="24">
        <f t="shared" si="10"/>
        <v>3730300</v>
      </c>
      <c r="J42" s="24">
        <f t="shared" si="10"/>
        <v>10162300</v>
      </c>
      <c r="K42" s="58"/>
    </row>
    <row r="43" spans="1:11" ht="16.5" customHeight="1">
      <c r="A43" s="45"/>
      <c r="B43" s="40"/>
      <c r="C43" s="22" t="s">
        <v>110</v>
      </c>
      <c r="D43" s="25"/>
      <c r="E43" s="28" t="s">
        <v>78</v>
      </c>
      <c r="F43" s="27">
        <v>452000</v>
      </c>
      <c r="G43" s="27"/>
      <c r="H43" s="27"/>
      <c r="I43" s="31">
        <f t="shared" si="8"/>
        <v>626749</v>
      </c>
      <c r="J43" s="27">
        <v>1078749</v>
      </c>
    </row>
    <row r="44" spans="1:11" ht="16.5" customHeight="1">
      <c r="A44" s="45"/>
      <c r="B44" s="40"/>
      <c r="C44" s="22" t="s">
        <v>73</v>
      </c>
      <c r="D44" s="25"/>
      <c r="E44" s="28" t="s">
        <v>109</v>
      </c>
      <c r="F44" s="27">
        <v>1480000</v>
      </c>
      <c r="G44" s="27">
        <v>4500000</v>
      </c>
      <c r="H44" s="27"/>
      <c r="I44" s="31">
        <f t="shared" si="8"/>
        <v>3103551</v>
      </c>
      <c r="J44" s="27">
        <v>9083551</v>
      </c>
    </row>
    <row r="45" spans="1:11" ht="16.5" customHeight="1">
      <c r="A45" s="45"/>
      <c r="B45" s="21"/>
      <c r="C45" s="22"/>
      <c r="D45" s="25"/>
      <c r="E45" s="28" t="s">
        <v>80</v>
      </c>
      <c r="F45" s="27"/>
      <c r="G45" s="27"/>
      <c r="H45" s="27"/>
      <c r="I45" s="31">
        <f t="shared" si="8"/>
        <v>0</v>
      </c>
      <c r="J45" s="27">
        <v>0</v>
      </c>
    </row>
    <row r="46" spans="1:11" ht="16.5" customHeight="1">
      <c r="A46" s="45"/>
      <c r="B46" s="56" t="s">
        <v>26</v>
      </c>
      <c r="C46" s="32" t="s">
        <v>35</v>
      </c>
      <c r="D46" s="33">
        <f>SUM(J46)</f>
        <v>6347203</v>
      </c>
      <c r="E46" s="55" t="s">
        <v>91</v>
      </c>
      <c r="F46" s="24">
        <f>SUM(F47:F48)</f>
        <v>88000</v>
      </c>
      <c r="G46" s="24">
        <f t="shared" ref="G46:J46" si="11">SUM(G47:G48)</f>
        <v>0</v>
      </c>
      <c r="H46" s="24">
        <f t="shared" si="11"/>
        <v>0</v>
      </c>
      <c r="I46" s="24">
        <f t="shared" si="11"/>
        <v>6259203</v>
      </c>
      <c r="J46" s="24">
        <f t="shared" si="11"/>
        <v>6347203</v>
      </c>
      <c r="K46" s="58"/>
    </row>
    <row r="47" spans="1:11" ht="16.5" customHeight="1">
      <c r="A47" s="45"/>
      <c r="B47" s="21"/>
      <c r="C47" s="22" t="s">
        <v>74</v>
      </c>
      <c r="D47" s="25"/>
      <c r="E47" s="28" t="s">
        <v>81</v>
      </c>
      <c r="F47" s="27"/>
      <c r="G47" s="27"/>
      <c r="H47" s="27"/>
      <c r="I47" s="31">
        <f t="shared" si="8"/>
        <v>190753</v>
      </c>
      <c r="J47" s="27">
        <v>190753</v>
      </c>
    </row>
    <row r="48" spans="1:11" ht="16.5" customHeight="1">
      <c r="A48" s="45"/>
      <c r="B48" s="34"/>
      <c r="C48" s="35"/>
      <c r="D48" s="36"/>
      <c r="E48" s="28" t="s">
        <v>82</v>
      </c>
      <c r="F48" s="27">
        <v>88000</v>
      </c>
      <c r="G48" s="27"/>
      <c r="H48" s="27"/>
      <c r="I48" s="31">
        <f t="shared" si="8"/>
        <v>6068450</v>
      </c>
      <c r="J48" s="27">
        <v>6156450</v>
      </c>
    </row>
    <row r="49" spans="1:11" ht="16.5" customHeight="1">
      <c r="A49" s="45"/>
      <c r="B49" s="57" t="s">
        <v>27</v>
      </c>
      <c r="C49" s="22" t="s">
        <v>36</v>
      </c>
      <c r="D49" s="23">
        <f>SUM(J49)</f>
        <v>9638803</v>
      </c>
      <c r="E49" s="55" t="s">
        <v>91</v>
      </c>
      <c r="F49" s="24">
        <f>SUM(F50:F53)</f>
        <v>876000</v>
      </c>
      <c r="G49" s="24">
        <f t="shared" ref="G49:J49" si="12">SUM(G50:G53)</f>
        <v>0</v>
      </c>
      <c r="H49" s="24">
        <f t="shared" si="12"/>
        <v>3675499</v>
      </c>
      <c r="I49" s="24">
        <f t="shared" si="12"/>
        <v>5087304</v>
      </c>
      <c r="J49" s="24">
        <f t="shared" si="12"/>
        <v>9638803</v>
      </c>
      <c r="K49" s="58"/>
    </row>
    <row r="50" spans="1:11" ht="16.5" customHeight="1">
      <c r="A50" s="45"/>
      <c r="B50" s="21"/>
      <c r="C50" s="22" t="s">
        <v>75</v>
      </c>
      <c r="D50" s="25"/>
      <c r="E50" s="28" t="s">
        <v>83</v>
      </c>
      <c r="F50" s="27">
        <v>5000</v>
      </c>
      <c r="G50" s="27"/>
      <c r="H50" s="27">
        <v>580880</v>
      </c>
      <c r="I50" s="31">
        <f t="shared" si="8"/>
        <v>1625119</v>
      </c>
      <c r="J50" s="27">
        <v>2210999</v>
      </c>
    </row>
    <row r="51" spans="1:11" ht="16.5" customHeight="1">
      <c r="A51" s="45"/>
      <c r="B51" s="21"/>
      <c r="C51" s="22" t="s">
        <v>76</v>
      </c>
      <c r="D51" s="25"/>
      <c r="E51" s="28" t="s">
        <v>84</v>
      </c>
      <c r="F51" s="27">
        <v>366000</v>
      </c>
      <c r="G51" s="27"/>
      <c r="H51" s="27"/>
      <c r="I51" s="31">
        <f t="shared" si="8"/>
        <v>1737106</v>
      </c>
      <c r="J51" s="27">
        <v>2103106</v>
      </c>
    </row>
    <row r="52" spans="1:11" ht="16.5" customHeight="1">
      <c r="A52" s="45"/>
      <c r="B52" s="21"/>
      <c r="C52" s="22" t="s">
        <v>77</v>
      </c>
      <c r="D52" s="25"/>
      <c r="E52" s="28" t="s">
        <v>85</v>
      </c>
      <c r="F52" s="27">
        <v>505000</v>
      </c>
      <c r="G52" s="27"/>
      <c r="H52" s="27">
        <v>2877453</v>
      </c>
      <c r="I52" s="31">
        <f t="shared" si="8"/>
        <v>1242645</v>
      </c>
      <c r="J52" s="27">
        <v>4625098</v>
      </c>
    </row>
    <row r="53" spans="1:11" ht="16.5" customHeight="1">
      <c r="A53" s="48"/>
      <c r="B53" s="34"/>
      <c r="C53" s="35"/>
      <c r="D53" s="36"/>
      <c r="E53" s="28" t="s">
        <v>86</v>
      </c>
      <c r="F53" s="27"/>
      <c r="G53" s="27"/>
      <c r="H53" s="27">
        <v>217166</v>
      </c>
      <c r="I53" s="24">
        <f t="shared" si="8"/>
        <v>482434</v>
      </c>
      <c r="J53" s="27">
        <v>699600</v>
      </c>
    </row>
    <row r="54" spans="1:11" ht="16.5" customHeight="1">
      <c r="A54" s="164" t="s">
        <v>92</v>
      </c>
      <c r="B54" s="164"/>
      <c r="C54" s="164"/>
      <c r="D54" s="52">
        <f>SUM(D4,D33,D41)</f>
        <v>531423193</v>
      </c>
      <c r="E54" s="53"/>
      <c r="F54" s="52">
        <f>SUM(F4,F33,F41)</f>
        <v>210415080</v>
      </c>
      <c r="G54" s="52">
        <f>SUM(G4,G33,G41)</f>
        <v>6000000</v>
      </c>
      <c r="H54" s="52">
        <f>SUM(H4,H33,H41)</f>
        <v>20810613</v>
      </c>
      <c r="I54" s="52">
        <f>SUM(I4,I33,I41)</f>
        <v>294197500</v>
      </c>
      <c r="J54" s="52">
        <f>SUM(J4,J33,J41)</f>
        <v>531423193</v>
      </c>
      <c r="K54" s="58"/>
    </row>
  </sheetData>
  <mergeCells count="1">
    <mergeCell ref="A54:C54"/>
  </mergeCells>
  <phoneticPr fontId="2"/>
  <pageMargins left="0.7" right="0.7" top="0.75" bottom="0.75" header="0.3" footer="0.3"/>
  <pageSetup paperSize="9" scale="6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27"/>
  <sheetViews>
    <sheetView showGridLines="0" view="pageBreakPreview" topLeftCell="B1" zoomScale="60" zoomScaleNormal="70" workbookViewId="0">
      <selection activeCell="E17" sqref="E17"/>
    </sheetView>
  </sheetViews>
  <sheetFormatPr defaultRowHeight="29.25" customHeight="1"/>
  <cols>
    <col min="1" max="1" width="9.625" style="11" customWidth="1"/>
    <col min="2" max="8" width="19.25" style="1" customWidth="1"/>
    <col min="9" max="9" width="26.625" style="1" customWidth="1"/>
    <col min="10" max="10" width="19.25" style="1" customWidth="1"/>
    <col min="11" max="12" width="5.25" style="1" customWidth="1"/>
    <col min="13" max="15" width="15.75" style="1" customWidth="1"/>
    <col min="16" max="16" width="21.5" style="1" customWidth="1"/>
    <col min="17" max="16384" width="9" style="1"/>
  </cols>
  <sheetData>
    <row r="1" spans="1:16" ht="23.25" customHeight="1">
      <c r="B1" s="162" t="s">
        <v>114</v>
      </c>
      <c r="C1" s="162"/>
      <c r="D1" s="162"/>
      <c r="E1" s="162"/>
      <c r="F1" s="162"/>
      <c r="G1" s="162"/>
      <c r="H1" s="162"/>
      <c r="I1" s="162"/>
      <c r="J1" s="162"/>
    </row>
    <row r="2" spans="1:16" ht="23.25" customHeight="1">
      <c r="A2" s="12"/>
      <c r="B2" s="162"/>
      <c r="C2" s="162"/>
      <c r="D2" s="162"/>
      <c r="E2" s="162"/>
      <c r="F2" s="162"/>
      <c r="G2" s="162"/>
      <c r="H2" s="162"/>
      <c r="I2" s="162"/>
      <c r="J2" s="162"/>
    </row>
    <row r="3" spans="1:16" ht="23.25" customHeight="1"/>
    <row r="4" spans="1:16" s="7" customFormat="1" ht="23.25" customHeight="1">
      <c r="A4" s="11"/>
      <c r="B4" s="5" t="s">
        <v>0</v>
      </c>
      <c r="C4" s="6" t="s">
        <v>1</v>
      </c>
      <c r="D4" s="6"/>
      <c r="E4" s="6"/>
      <c r="F4" s="6"/>
      <c r="I4" s="4">
        <v>40330</v>
      </c>
    </row>
    <row r="5" spans="1:16" ht="23.25" customHeight="1">
      <c r="B5" s="2"/>
      <c r="C5" s="3"/>
      <c r="D5" s="3"/>
      <c r="E5" s="3"/>
      <c r="F5" s="3"/>
    </row>
    <row r="6" spans="1:16" s="7" customFormat="1" ht="23.25" customHeight="1">
      <c r="A6" s="11"/>
      <c r="B6" s="5" t="s">
        <v>2</v>
      </c>
      <c r="C6" s="6" t="s">
        <v>3</v>
      </c>
      <c r="D6" s="6"/>
      <c r="E6" s="6"/>
      <c r="F6" s="6"/>
      <c r="I6" s="4">
        <v>523855</v>
      </c>
    </row>
    <row r="7" spans="1:16" ht="23.25" customHeight="1"/>
    <row r="8" spans="1:16" ht="29.25" customHeight="1">
      <c r="B8" s="7" t="s">
        <v>4</v>
      </c>
      <c r="J8" s="8" t="s">
        <v>14</v>
      </c>
    </row>
    <row r="9" spans="1:16" s="7" customFormat="1" ht="29.25" customHeight="1">
      <c r="A9" s="11"/>
      <c r="B9" s="160" t="s">
        <v>5</v>
      </c>
      <c r="C9" s="160" t="s">
        <v>6</v>
      </c>
      <c r="D9" s="160"/>
      <c r="E9" s="163" t="s">
        <v>115</v>
      </c>
      <c r="F9" s="160" t="s">
        <v>13</v>
      </c>
      <c r="G9" s="160"/>
      <c r="H9" s="160"/>
      <c r="I9" s="160"/>
      <c r="J9" s="160"/>
    </row>
    <row r="10" spans="1:16" s="7" customFormat="1" ht="29.25" customHeight="1">
      <c r="A10" s="11"/>
      <c r="B10" s="160"/>
      <c r="C10" s="160"/>
      <c r="D10" s="160"/>
      <c r="E10" s="160"/>
      <c r="F10" s="160" t="s">
        <v>10</v>
      </c>
      <c r="G10" s="160"/>
      <c r="H10" s="160"/>
      <c r="I10" s="160" t="s">
        <v>11</v>
      </c>
      <c r="J10" s="160"/>
    </row>
    <row r="11" spans="1:16" s="7" customFormat="1" ht="41.25" customHeight="1">
      <c r="A11" s="11"/>
      <c r="B11" s="160"/>
      <c r="C11" s="160"/>
      <c r="D11" s="160"/>
      <c r="E11" s="160"/>
      <c r="F11" s="67" t="s">
        <v>7</v>
      </c>
      <c r="G11" s="67" t="s">
        <v>8</v>
      </c>
      <c r="H11" s="67" t="s">
        <v>9</v>
      </c>
      <c r="I11" s="61" t="s">
        <v>12</v>
      </c>
      <c r="J11" s="67" t="s">
        <v>9</v>
      </c>
      <c r="M11" s="10" t="s">
        <v>29</v>
      </c>
      <c r="N11" s="10" t="s">
        <v>29</v>
      </c>
    </row>
    <row r="12" spans="1:16" s="7" customFormat="1" ht="29.25" customHeight="1">
      <c r="A12" s="11"/>
      <c r="B12" s="160" t="s">
        <v>16</v>
      </c>
      <c r="C12" s="161" t="s">
        <v>28</v>
      </c>
      <c r="D12" s="161"/>
      <c r="E12" s="59">
        <v>199298</v>
      </c>
      <c r="F12" s="59">
        <v>144297</v>
      </c>
      <c r="G12" s="59">
        <v>0</v>
      </c>
      <c r="H12" s="59">
        <v>478</v>
      </c>
      <c r="I12" s="60">
        <f>ROUND(I24/M24*M12,0)</f>
        <v>7857</v>
      </c>
      <c r="J12" s="59">
        <f>E12-(F12+G12+H12+I12)</f>
        <v>46666</v>
      </c>
      <c r="M12" s="9">
        <f>E12-(SUM(F12,G12,H12))</f>
        <v>54523</v>
      </c>
      <c r="N12" s="9">
        <f>I12+J12</f>
        <v>54523</v>
      </c>
      <c r="O12" s="9">
        <f>M12-N12</f>
        <v>0</v>
      </c>
      <c r="P12" s="7">
        <f>M12/M24*I24</f>
        <v>7856.8790264085956</v>
      </c>
    </row>
    <row r="13" spans="1:16" s="7" customFormat="1" ht="29.25" customHeight="1">
      <c r="A13" s="11"/>
      <c r="B13" s="160"/>
      <c r="C13" s="161" t="s">
        <v>24</v>
      </c>
      <c r="D13" s="161"/>
      <c r="E13" s="59">
        <v>39994</v>
      </c>
      <c r="F13" s="59">
        <v>2708</v>
      </c>
      <c r="G13" s="59">
        <v>1600</v>
      </c>
      <c r="H13" s="59">
        <v>1845</v>
      </c>
      <c r="I13" s="60">
        <f>ROUND(I24/M24*M13,0)-1</f>
        <v>4876</v>
      </c>
      <c r="J13" s="59">
        <f>E13-(F13+G13+H13+I13)</f>
        <v>28965</v>
      </c>
      <c r="M13" s="9">
        <f t="shared" ref="M13:M23" si="0">E13-(SUM(F13,G13,H13))</f>
        <v>33841</v>
      </c>
      <c r="N13" s="9">
        <f t="shared" ref="N13:N23" si="1">I13+J13</f>
        <v>33841</v>
      </c>
      <c r="O13" s="9">
        <f t="shared" ref="O13:O24" si="2">M13-N13</f>
        <v>0</v>
      </c>
      <c r="P13" s="7">
        <f>M13/M24*I24</f>
        <v>4876.5593076810392</v>
      </c>
    </row>
    <row r="14" spans="1:16" s="7" customFormat="1" ht="29.25" customHeight="1">
      <c r="A14" s="11"/>
      <c r="B14" s="160"/>
      <c r="C14" s="161" t="s">
        <v>25</v>
      </c>
      <c r="D14" s="161"/>
      <c r="E14" s="59">
        <v>104847</v>
      </c>
      <c r="F14" s="59">
        <v>34070</v>
      </c>
      <c r="G14" s="59">
        <v>0</v>
      </c>
      <c r="H14" s="59">
        <v>19948</v>
      </c>
      <c r="I14" s="60">
        <f>ROUND(I24/M24*M14,0)</f>
        <v>7325</v>
      </c>
      <c r="J14" s="59">
        <f t="shared" ref="J14" si="3">E14-(F14+G14+H14+I14)</f>
        <v>43504</v>
      </c>
      <c r="M14" s="9">
        <f t="shared" si="0"/>
        <v>50829</v>
      </c>
      <c r="N14" s="9">
        <f t="shared" si="1"/>
        <v>50829</v>
      </c>
      <c r="O14" s="9">
        <f t="shared" si="2"/>
        <v>0</v>
      </c>
      <c r="P14" s="7">
        <f>M14/M24*I24</f>
        <v>7324.5658535539587</v>
      </c>
    </row>
    <row r="15" spans="1:16" s="7" customFormat="1" ht="29.25" customHeight="1">
      <c r="A15" s="11"/>
      <c r="B15" s="160"/>
      <c r="C15" s="160" t="s">
        <v>105</v>
      </c>
      <c r="D15" s="160"/>
      <c r="E15" s="59">
        <f t="shared" ref="E15:I15" si="4">SUM(E12:E14)</f>
        <v>344139</v>
      </c>
      <c r="F15" s="59">
        <f t="shared" si="4"/>
        <v>181075</v>
      </c>
      <c r="G15" s="59">
        <f t="shared" si="4"/>
        <v>1600</v>
      </c>
      <c r="H15" s="59">
        <f t="shared" si="4"/>
        <v>22271</v>
      </c>
      <c r="I15" s="60">
        <f t="shared" si="4"/>
        <v>20058</v>
      </c>
      <c r="J15" s="59">
        <f>SUM(J12:J14)</f>
        <v>119135</v>
      </c>
      <c r="M15" s="9">
        <f t="shared" si="0"/>
        <v>139193</v>
      </c>
      <c r="N15" s="9">
        <f t="shared" si="1"/>
        <v>139193</v>
      </c>
      <c r="O15" s="9">
        <f t="shared" si="2"/>
        <v>0</v>
      </c>
      <c r="P15" s="7">
        <f>M15/M24*I24</f>
        <v>20058.004187643593</v>
      </c>
    </row>
    <row r="16" spans="1:16" s="7" customFormat="1" ht="29.25" customHeight="1">
      <c r="A16" s="11"/>
      <c r="B16" s="160" t="s">
        <v>17</v>
      </c>
      <c r="C16" s="161" t="s">
        <v>19</v>
      </c>
      <c r="D16" s="161"/>
      <c r="E16" s="59">
        <v>28396</v>
      </c>
      <c r="F16" s="59">
        <v>15867</v>
      </c>
      <c r="G16" s="59">
        <v>0</v>
      </c>
      <c r="H16" s="59">
        <v>0</v>
      </c>
      <c r="I16" s="60">
        <f>ROUND(I24/M24*M16,0)</f>
        <v>1805</v>
      </c>
      <c r="J16" s="59">
        <f>E16-(F16+G16+H16+I16)</f>
        <v>10724</v>
      </c>
      <c r="M16" s="9">
        <f t="shared" si="0"/>
        <v>12529</v>
      </c>
      <c r="N16" s="9">
        <f t="shared" si="1"/>
        <v>12529</v>
      </c>
      <c r="O16" s="9">
        <f t="shared" si="2"/>
        <v>0</v>
      </c>
      <c r="P16" s="7">
        <f>M16/M24*I24</f>
        <v>1805.4552633177429</v>
      </c>
    </row>
    <row r="17" spans="1:16" s="7" customFormat="1" ht="29.25" customHeight="1">
      <c r="A17" s="11"/>
      <c r="B17" s="160"/>
      <c r="C17" s="161" t="s">
        <v>20</v>
      </c>
      <c r="D17" s="161"/>
      <c r="E17" s="59">
        <v>60781</v>
      </c>
      <c r="F17" s="59">
        <v>4597</v>
      </c>
      <c r="G17" s="59">
        <v>0</v>
      </c>
      <c r="H17" s="59">
        <v>50</v>
      </c>
      <c r="I17" s="60">
        <f>ROUND(I24/M24*M17,0)</f>
        <v>8089</v>
      </c>
      <c r="J17" s="59">
        <f t="shared" ref="J17:J18" si="5">E17-(F17+G17+H17+I17)</f>
        <v>48045</v>
      </c>
      <c r="M17" s="9">
        <f t="shared" si="0"/>
        <v>56134</v>
      </c>
      <c r="N17" s="9">
        <f t="shared" si="1"/>
        <v>56134</v>
      </c>
      <c r="O17" s="9">
        <f t="shared" si="2"/>
        <v>0</v>
      </c>
      <c r="P17" s="7">
        <f>M17/M24*I24</f>
        <v>8089.0275162485577</v>
      </c>
    </row>
    <row r="18" spans="1:16" s="7" customFormat="1" ht="29.25" customHeight="1">
      <c r="A18" s="11"/>
      <c r="B18" s="160"/>
      <c r="C18" s="161" t="s">
        <v>21</v>
      </c>
      <c r="D18" s="161"/>
      <c r="E18" s="59">
        <v>69083</v>
      </c>
      <c r="F18" s="59">
        <v>9841</v>
      </c>
      <c r="G18" s="59">
        <v>0</v>
      </c>
      <c r="H18" s="59">
        <v>0</v>
      </c>
      <c r="I18" s="60">
        <f>ROUND(I24/M24*M18,0)</f>
        <v>8537</v>
      </c>
      <c r="J18" s="59">
        <f t="shared" si="5"/>
        <v>50705</v>
      </c>
      <c r="M18" s="9">
        <f t="shared" si="0"/>
        <v>59242</v>
      </c>
      <c r="N18" s="9">
        <f>I18+J18</f>
        <v>59242</v>
      </c>
      <c r="O18" s="9">
        <f t="shared" si="2"/>
        <v>0</v>
      </c>
      <c r="P18" s="7">
        <f>M18/M24*I24</f>
        <v>8536.8968560515368</v>
      </c>
    </row>
    <row r="19" spans="1:16" s="7" customFormat="1" ht="29.25" customHeight="1">
      <c r="A19" s="11"/>
      <c r="B19" s="160"/>
      <c r="C19" s="160" t="s">
        <v>105</v>
      </c>
      <c r="D19" s="160"/>
      <c r="E19" s="59">
        <f>SUM(E16:E18)</f>
        <v>158260</v>
      </c>
      <c r="F19" s="59">
        <f t="shared" ref="F19:H19" si="6">SUM(F16:F18)</f>
        <v>30305</v>
      </c>
      <c r="G19" s="59">
        <f t="shared" si="6"/>
        <v>0</v>
      </c>
      <c r="H19" s="59">
        <f t="shared" si="6"/>
        <v>50</v>
      </c>
      <c r="I19" s="60">
        <f>SUM(I16:I18)</f>
        <v>18431</v>
      </c>
      <c r="J19" s="59">
        <f>SUM(J16:J18)</f>
        <v>109474</v>
      </c>
      <c r="M19" s="9">
        <f t="shared" si="0"/>
        <v>127905</v>
      </c>
      <c r="N19" s="9">
        <f t="shared" si="1"/>
        <v>127905</v>
      </c>
      <c r="O19" s="9">
        <f t="shared" si="2"/>
        <v>0</v>
      </c>
      <c r="P19" s="7">
        <f>M19/M24*I24</f>
        <v>18431.379635617839</v>
      </c>
    </row>
    <row r="20" spans="1:16" s="7" customFormat="1" ht="29.25" customHeight="1">
      <c r="A20" s="11"/>
      <c r="B20" s="160" t="s">
        <v>18</v>
      </c>
      <c r="C20" s="161" t="s">
        <v>23</v>
      </c>
      <c r="D20" s="161"/>
      <c r="E20" s="59">
        <v>6970</v>
      </c>
      <c r="F20" s="59">
        <v>1459</v>
      </c>
      <c r="G20" s="59">
        <v>3800</v>
      </c>
      <c r="H20" s="59">
        <v>60</v>
      </c>
      <c r="I20" s="60">
        <f>ROUND(I24/M24*M20,0)</f>
        <v>238</v>
      </c>
      <c r="J20" s="59">
        <f>E20-(F20+G20+H20+I20)</f>
        <v>1413</v>
      </c>
      <c r="M20" s="9">
        <f>E20-(SUM(F20,G20,H20))</f>
        <v>1651</v>
      </c>
      <c r="N20" s="9">
        <f t="shared" si="1"/>
        <v>1651</v>
      </c>
      <c r="O20" s="9">
        <f t="shared" si="2"/>
        <v>0</v>
      </c>
      <c r="P20" s="7">
        <f>M20/M24*I24</f>
        <v>237.9125740073105</v>
      </c>
    </row>
    <row r="21" spans="1:16" s="7" customFormat="1" ht="29.25" customHeight="1">
      <c r="A21" s="11"/>
      <c r="B21" s="160"/>
      <c r="C21" s="161" t="s">
        <v>26</v>
      </c>
      <c r="D21" s="161"/>
      <c r="E21" s="59">
        <v>5837</v>
      </c>
      <c r="F21" s="59">
        <v>91</v>
      </c>
      <c r="G21" s="59">
        <v>0</v>
      </c>
      <c r="H21" s="59">
        <v>0</v>
      </c>
      <c r="I21" s="60">
        <f>ROUND(I24/M24*M21,0)</f>
        <v>828</v>
      </c>
      <c r="J21" s="59">
        <f>E21-(F21+G21+H21+I21)</f>
        <v>4918</v>
      </c>
      <c r="M21" s="9">
        <f t="shared" si="0"/>
        <v>5746</v>
      </c>
      <c r="N21" s="9">
        <f t="shared" si="1"/>
        <v>5746</v>
      </c>
      <c r="O21" s="9">
        <f t="shared" si="2"/>
        <v>0</v>
      </c>
      <c r="P21" s="7">
        <f>M21/M24*I24</f>
        <v>828.01069063961609</v>
      </c>
    </row>
    <row r="22" spans="1:16" s="7" customFormat="1" ht="29.25" customHeight="1">
      <c r="A22" s="11"/>
      <c r="B22" s="160"/>
      <c r="C22" s="161" t="s">
        <v>27</v>
      </c>
      <c r="D22" s="161"/>
      <c r="E22" s="59">
        <v>8649</v>
      </c>
      <c r="F22" s="59">
        <v>361</v>
      </c>
      <c r="G22" s="59">
        <v>0</v>
      </c>
      <c r="H22" s="59">
        <v>2912</v>
      </c>
      <c r="I22" s="60">
        <f>ROUND(I24/M24*M22,0)</f>
        <v>775</v>
      </c>
      <c r="J22" s="59">
        <f t="shared" ref="J22" si="7">E22-(F22+G22+H22+I22)</f>
        <v>4601</v>
      </c>
      <c r="M22" s="9">
        <f t="shared" si="0"/>
        <v>5376</v>
      </c>
      <c r="N22" s="9">
        <f t="shared" si="1"/>
        <v>5376</v>
      </c>
      <c r="O22" s="9">
        <f t="shared" si="2"/>
        <v>0</v>
      </c>
      <c r="P22" s="7">
        <f>M22/M24*I24</f>
        <v>774.69291209164226</v>
      </c>
    </row>
    <row r="23" spans="1:16" s="7" customFormat="1" ht="29.25" customHeight="1">
      <c r="A23" s="11"/>
      <c r="B23" s="160"/>
      <c r="C23" s="160" t="s">
        <v>105</v>
      </c>
      <c r="D23" s="160"/>
      <c r="E23" s="59">
        <f>SUM(E20:E22)</f>
        <v>21456</v>
      </c>
      <c r="F23" s="59">
        <f t="shared" ref="F23:I23" si="8">SUM(F20:F22)</f>
        <v>1911</v>
      </c>
      <c r="G23" s="59">
        <f t="shared" si="8"/>
        <v>3800</v>
      </c>
      <c r="H23" s="59">
        <f t="shared" si="8"/>
        <v>2972</v>
      </c>
      <c r="I23" s="60">
        <f t="shared" si="8"/>
        <v>1841</v>
      </c>
      <c r="J23" s="59">
        <f>SUM(J20:J22)</f>
        <v>10932</v>
      </c>
      <c r="M23" s="9">
        <f t="shared" si="0"/>
        <v>12773</v>
      </c>
      <c r="N23" s="9">
        <f t="shared" si="1"/>
        <v>12773</v>
      </c>
      <c r="O23" s="9">
        <f t="shared" si="2"/>
        <v>0</v>
      </c>
      <c r="P23" s="7">
        <f>M23/M24*I24</f>
        <v>1840.6161767385688</v>
      </c>
    </row>
    <row r="24" spans="1:16" s="7" customFormat="1" ht="29.25" customHeight="1">
      <c r="A24" s="11"/>
      <c r="B24" s="160" t="s">
        <v>106</v>
      </c>
      <c r="C24" s="160"/>
      <c r="D24" s="160"/>
      <c r="E24" s="59">
        <f>SUM(E23,E19,E15)</f>
        <v>523855</v>
      </c>
      <c r="F24" s="59">
        <f t="shared" ref="F24:H24" si="9">SUM(F23,F19,F15)</f>
        <v>213291</v>
      </c>
      <c r="G24" s="59">
        <f t="shared" si="9"/>
        <v>5400</v>
      </c>
      <c r="H24" s="59">
        <f t="shared" si="9"/>
        <v>25293</v>
      </c>
      <c r="I24" s="60">
        <f>I4</f>
        <v>40330</v>
      </c>
      <c r="J24" s="59">
        <f>SUM(J23,J19,J15)</f>
        <v>239541</v>
      </c>
      <c r="M24" s="9">
        <f>E24-(SUM(F24,G24,H24))</f>
        <v>279871</v>
      </c>
      <c r="N24" s="9">
        <f>I24+J24</f>
        <v>279871</v>
      </c>
      <c r="O24" s="9">
        <f t="shared" si="2"/>
        <v>0</v>
      </c>
      <c r="P24" s="7">
        <f>M24/M24*I24</f>
        <v>40330</v>
      </c>
    </row>
    <row r="25" spans="1:16" ht="29.25" customHeight="1">
      <c r="B25" s="7" t="s">
        <v>30</v>
      </c>
    </row>
    <row r="26" spans="1:16" ht="21.75" customHeight="1">
      <c r="I26" s="9"/>
      <c r="J26" s="9"/>
    </row>
    <row r="27" spans="1:16" ht="21.75" customHeight="1"/>
  </sheetData>
  <mergeCells count="23">
    <mergeCell ref="B1:J2"/>
    <mergeCell ref="B9:B11"/>
    <mergeCell ref="C9:D11"/>
    <mergeCell ref="E9:E11"/>
    <mergeCell ref="F9:J9"/>
    <mergeCell ref="F10:H10"/>
    <mergeCell ref="I10:J10"/>
    <mergeCell ref="B24:D24"/>
    <mergeCell ref="B12:B15"/>
    <mergeCell ref="C12:D12"/>
    <mergeCell ref="C13:D13"/>
    <mergeCell ref="C14:D14"/>
    <mergeCell ref="C15:D15"/>
    <mergeCell ref="B16:B19"/>
    <mergeCell ref="C16:D16"/>
    <mergeCell ref="C17:D17"/>
    <mergeCell ref="C18:D18"/>
    <mergeCell ref="C19:D19"/>
    <mergeCell ref="B20:B23"/>
    <mergeCell ref="C20:D20"/>
    <mergeCell ref="C21:D21"/>
    <mergeCell ref="C22:D22"/>
    <mergeCell ref="C23:D23"/>
  </mergeCells>
  <phoneticPr fontId="2"/>
  <pageMargins left="0.19685039370078741" right="0.70866141732283472" top="0.74803149606299213" bottom="0.74803149606299213" header="0.31496062992125984" footer="0.31496062992125984"/>
  <pageSetup paperSize="9" scale="72" fitToHeight="0" orientation="landscape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2"/>
  <sheetViews>
    <sheetView zoomScale="80" zoomScaleNormal="80" workbookViewId="0">
      <pane ySplit="3" topLeftCell="A4" activePane="bottomLeft" state="frozen"/>
      <selection pane="bottomLeft" activeCell="H28" sqref="H28"/>
    </sheetView>
  </sheetViews>
  <sheetFormatPr defaultRowHeight="16.5" customHeight="1"/>
  <cols>
    <col min="1" max="1" width="10.75" style="1" customWidth="1"/>
    <col min="2" max="2" width="22.875" style="1" customWidth="1"/>
    <col min="3" max="3" width="47.375" style="14" customWidth="1"/>
    <col min="4" max="4" width="13.75" style="15" customWidth="1"/>
    <col min="5" max="5" width="42.375" style="1" customWidth="1"/>
    <col min="6" max="9" width="13.5" style="15" customWidth="1"/>
    <col min="10" max="10" width="15.75" style="15" customWidth="1"/>
    <col min="11" max="16384" width="9" style="1"/>
  </cols>
  <sheetData>
    <row r="1" spans="1:11" ht="16.5" customHeight="1">
      <c r="A1" s="13" t="s">
        <v>113</v>
      </c>
    </row>
    <row r="2" spans="1:11" ht="16.5" customHeight="1">
      <c r="J2" s="16" t="s">
        <v>87</v>
      </c>
    </row>
    <row r="3" spans="1:11" ht="16.5" customHeight="1">
      <c r="A3" s="17" t="s">
        <v>5</v>
      </c>
      <c r="B3" s="17" t="s">
        <v>6</v>
      </c>
      <c r="C3" s="18" t="s">
        <v>71</v>
      </c>
      <c r="D3" s="19" t="s">
        <v>46</v>
      </c>
      <c r="E3" s="17" t="s">
        <v>6</v>
      </c>
      <c r="F3" s="19" t="s">
        <v>7</v>
      </c>
      <c r="G3" s="19" t="s">
        <v>8</v>
      </c>
      <c r="H3" s="19" t="s">
        <v>9</v>
      </c>
      <c r="I3" s="19" t="s">
        <v>11</v>
      </c>
      <c r="J3" s="20" t="s">
        <v>44</v>
      </c>
    </row>
    <row r="4" spans="1:11" ht="16.5" customHeight="1">
      <c r="A4" s="45" t="s">
        <v>16</v>
      </c>
      <c r="B4" s="46"/>
      <c r="C4" s="47"/>
      <c r="D4" s="42">
        <f>SUM(D5,D11,D24)</f>
        <v>344139238</v>
      </c>
      <c r="E4" s="43" t="s">
        <v>90</v>
      </c>
      <c r="F4" s="42">
        <f>SUM(F5,F11,F24)</f>
        <v>181075394</v>
      </c>
      <c r="G4" s="42">
        <f>SUM(G5,G11,G24)</f>
        <v>1600000</v>
      </c>
      <c r="H4" s="42">
        <f>SUM(H5,H11,H24)</f>
        <v>22270989</v>
      </c>
      <c r="I4" s="42">
        <f>SUM(I5,I11,I24)</f>
        <v>139192855</v>
      </c>
      <c r="J4" s="42">
        <f>SUM(J5,J11,J24)</f>
        <v>344139238</v>
      </c>
      <c r="K4" s="58"/>
    </row>
    <row r="5" spans="1:11" ht="16.5" customHeight="1">
      <c r="A5" s="45"/>
      <c r="B5" s="56" t="s">
        <v>28</v>
      </c>
      <c r="C5" s="32" t="s">
        <v>68</v>
      </c>
      <c r="D5" s="33">
        <f>SUM(J5)</f>
        <v>199298422</v>
      </c>
      <c r="E5" s="55" t="s">
        <v>91</v>
      </c>
      <c r="F5" s="24">
        <f>SUM(F6:F10)</f>
        <v>144296500</v>
      </c>
      <c r="G5" s="24">
        <f>SUM(G6:G10)</f>
        <v>0</v>
      </c>
      <c r="H5" s="24">
        <f>SUM(H6:H10)</f>
        <v>478201</v>
      </c>
      <c r="I5" s="24">
        <f t="shared" ref="I5:J5" si="0">SUM(I6:I10)</f>
        <v>54523721</v>
      </c>
      <c r="J5" s="24">
        <f t="shared" si="0"/>
        <v>199298422</v>
      </c>
      <c r="K5" s="58"/>
    </row>
    <row r="6" spans="1:11" ht="16.5" customHeight="1">
      <c r="A6" s="45"/>
      <c r="B6" s="21"/>
      <c r="C6" s="22"/>
      <c r="D6" s="25"/>
      <c r="E6" s="26" t="s">
        <v>40</v>
      </c>
      <c r="F6" s="27">
        <v>2099000</v>
      </c>
      <c r="G6" s="27"/>
      <c r="H6" s="27">
        <v>478201</v>
      </c>
      <c r="I6" s="24">
        <f>J6-SUM(F6,G6,H6)</f>
        <v>2110420</v>
      </c>
      <c r="J6" s="27">
        <v>4687621</v>
      </c>
    </row>
    <row r="7" spans="1:11" ht="16.5" customHeight="1">
      <c r="A7" s="45"/>
      <c r="B7" s="21"/>
      <c r="C7" s="22"/>
      <c r="D7" s="25"/>
      <c r="E7" s="26" t="s">
        <v>45</v>
      </c>
      <c r="F7" s="27"/>
      <c r="G7" s="27"/>
      <c r="H7" s="27"/>
      <c r="I7" s="24">
        <f>J7-SUM(F7,G7,H7)</f>
        <v>273622</v>
      </c>
      <c r="J7" s="27">
        <v>273622</v>
      </c>
    </row>
    <row r="8" spans="1:11" ht="16.5" customHeight="1">
      <c r="A8" s="45"/>
      <c r="B8" s="21"/>
      <c r="C8" s="22"/>
      <c r="D8" s="25"/>
      <c r="E8" s="28" t="s">
        <v>41</v>
      </c>
      <c r="F8" s="27">
        <v>139860000</v>
      </c>
      <c r="G8" s="27"/>
      <c r="H8" s="27"/>
      <c r="I8" s="24">
        <f t="shared" ref="I8:I9" si="1">J8-SUM(F8,G8,H8)</f>
        <v>44985514</v>
      </c>
      <c r="J8" s="27">
        <v>184845514</v>
      </c>
    </row>
    <row r="9" spans="1:11" ht="16.5" customHeight="1">
      <c r="A9" s="45"/>
      <c r="B9" s="21"/>
      <c r="C9" s="22"/>
      <c r="D9" s="25"/>
      <c r="E9" s="26" t="s">
        <v>42</v>
      </c>
      <c r="F9" s="27">
        <v>862500</v>
      </c>
      <c r="G9" s="27"/>
      <c r="H9" s="27"/>
      <c r="I9" s="24">
        <f t="shared" si="1"/>
        <v>160925</v>
      </c>
      <c r="J9" s="27">
        <v>1023425</v>
      </c>
    </row>
    <row r="10" spans="1:11" ht="16.5" customHeight="1">
      <c r="A10" s="45"/>
      <c r="B10" s="21"/>
      <c r="C10" s="22"/>
      <c r="D10" s="25"/>
      <c r="E10" s="29" t="s">
        <v>43</v>
      </c>
      <c r="F10" s="30">
        <v>1475000</v>
      </c>
      <c r="G10" s="30"/>
      <c r="H10" s="30"/>
      <c r="I10" s="31">
        <f>J10-SUM(F10,G10,H10)</f>
        <v>6993240</v>
      </c>
      <c r="J10" s="30">
        <v>8468240</v>
      </c>
    </row>
    <row r="11" spans="1:11" ht="16.5" customHeight="1">
      <c r="A11" s="45"/>
      <c r="B11" s="56" t="s">
        <v>24</v>
      </c>
      <c r="C11" s="32" t="s">
        <v>69</v>
      </c>
      <c r="D11" s="33">
        <f>SUM(J11)</f>
        <v>39993553</v>
      </c>
      <c r="E11" s="55" t="s">
        <v>91</v>
      </c>
      <c r="F11" s="24">
        <f>SUM(F12:F23)</f>
        <v>2708399</v>
      </c>
      <c r="G11" s="24">
        <f>SUM(G12:G23)</f>
        <v>1600000</v>
      </c>
      <c r="H11" s="24">
        <f>SUM(H12:H23)</f>
        <v>1845135</v>
      </c>
      <c r="I11" s="24">
        <f>SUM(I12:I23)</f>
        <v>33840019</v>
      </c>
      <c r="J11" s="24">
        <f>SUM(J12:J23)</f>
        <v>39993553</v>
      </c>
      <c r="K11" s="58"/>
    </row>
    <row r="12" spans="1:11" ht="16.5" customHeight="1">
      <c r="A12" s="45"/>
      <c r="B12" s="21"/>
      <c r="C12" s="22"/>
      <c r="D12" s="25"/>
      <c r="E12" s="26" t="s">
        <v>47</v>
      </c>
      <c r="F12" s="27">
        <v>2550000</v>
      </c>
      <c r="G12" s="27"/>
      <c r="H12" s="27">
        <v>1648499</v>
      </c>
      <c r="I12" s="31">
        <f t="shared" ref="I12:I33" si="2">J12-SUM(F12,G12,H12)</f>
        <v>12131691</v>
      </c>
      <c r="J12" s="27">
        <v>16330190</v>
      </c>
    </row>
    <row r="13" spans="1:11" ht="16.5" customHeight="1">
      <c r="A13" s="45"/>
      <c r="B13" s="21"/>
      <c r="C13" s="22"/>
      <c r="D13" s="25"/>
      <c r="E13" s="26" t="s">
        <v>48</v>
      </c>
      <c r="F13" s="27"/>
      <c r="G13" s="27"/>
      <c r="H13" s="27">
        <v>27775</v>
      </c>
      <c r="I13" s="31">
        <f t="shared" si="2"/>
        <v>100525</v>
      </c>
      <c r="J13" s="27">
        <v>128300</v>
      </c>
    </row>
    <row r="14" spans="1:11" ht="16.5" customHeight="1">
      <c r="A14" s="45"/>
      <c r="B14" s="21"/>
      <c r="C14" s="22"/>
      <c r="D14" s="25"/>
      <c r="E14" s="26" t="s">
        <v>49</v>
      </c>
      <c r="F14" s="27"/>
      <c r="G14" s="27"/>
      <c r="H14" s="27">
        <v>109955</v>
      </c>
      <c r="I14" s="31">
        <f t="shared" si="2"/>
        <v>12690045</v>
      </c>
      <c r="J14" s="27">
        <v>12800000</v>
      </c>
    </row>
    <row r="15" spans="1:11" ht="16.5" customHeight="1">
      <c r="A15" s="45"/>
      <c r="B15" s="21"/>
      <c r="C15" s="22"/>
      <c r="D15" s="25"/>
      <c r="E15" s="26" t="s">
        <v>50</v>
      </c>
      <c r="F15" s="27"/>
      <c r="G15" s="27"/>
      <c r="H15" s="27">
        <v>24156</v>
      </c>
      <c r="I15" s="31">
        <f t="shared" si="2"/>
        <v>7199329</v>
      </c>
      <c r="J15" s="27">
        <v>7223485</v>
      </c>
    </row>
    <row r="16" spans="1:11" ht="16.5" customHeight="1">
      <c r="A16" s="45"/>
      <c r="B16" s="21"/>
      <c r="C16" s="22"/>
      <c r="D16" s="25"/>
      <c r="E16" s="26" t="s">
        <v>51</v>
      </c>
      <c r="F16" s="27"/>
      <c r="G16" s="27"/>
      <c r="H16" s="27"/>
      <c r="I16" s="31">
        <f t="shared" si="2"/>
        <v>550009</v>
      </c>
      <c r="J16" s="27">
        <v>550009</v>
      </c>
    </row>
    <row r="17" spans="1:11" ht="16.5" customHeight="1">
      <c r="A17" s="45"/>
      <c r="B17" s="21"/>
      <c r="C17" s="22"/>
      <c r="D17" s="25"/>
      <c r="E17" s="26" t="s">
        <v>52</v>
      </c>
      <c r="F17" s="27"/>
      <c r="G17" s="27">
        <v>300000</v>
      </c>
      <c r="H17" s="27">
        <v>34750</v>
      </c>
      <c r="I17" s="31">
        <f t="shared" si="2"/>
        <v>50690</v>
      </c>
      <c r="J17" s="27">
        <v>385440</v>
      </c>
    </row>
    <row r="18" spans="1:11" ht="16.5" customHeight="1">
      <c r="A18" s="45"/>
      <c r="B18" s="21"/>
      <c r="C18" s="22"/>
      <c r="D18" s="25"/>
      <c r="E18" s="26" t="s">
        <v>53</v>
      </c>
      <c r="F18" s="27"/>
      <c r="G18" s="27"/>
      <c r="H18" s="27"/>
      <c r="I18" s="31">
        <f t="shared" si="2"/>
        <v>176000</v>
      </c>
      <c r="J18" s="27">
        <v>176000</v>
      </c>
    </row>
    <row r="19" spans="1:11" ht="16.5" customHeight="1">
      <c r="A19" s="45"/>
      <c r="B19" s="21"/>
      <c r="C19" s="22"/>
      <c r="D19" s="25"/>
      <c r="E19" s="26" t="s">
        <v>54</v>
      </c>
      <c r="F19" s="27"/>
      <c r="G19" s="27"/>
      <c r="H19" s="27"/>
      <c r="I19" s="31">
        <f t="shared" si="2"/>
        <v>452940</v>
      </c>
      <c r="J19" s="27">
        <v>452940</v>
      </c>
    </row>
    <row r="20" spans="1:11" ht="16.5" customHeight="1">
      <c r="A20" s="45"/>
      <c r="B20" s="21"/>
      <c r="C20" s="22"/>
      <c r="D20" s="25"/>
      <c r="E20" s="26" t="s">
        <v>55</v>
      </c>
      <c r="F20" s="27">
        <v>158399</v>
      </c>
      <c r="G20" s="27"/>
      <c r="H20" s="27"/>
      <c r="I20" s="31">
        <f t="shared" si="2"/>
        <v>291601</v>
      </c>
      <c r="J20" s="27">
        <v>450000</v>
      </c>
    </row>
    <row r="21" spans="1:11" ht="16.5" customHeight="1">
      <c r="A21" s="45"/>
      <c r="B21" s="21"/>
      <c r="C21" s="22"/>
      <c r="D21" s="25"/>
      <c r="E21" s="26" t="s">
        <v>56</v>
      </c>
      <c r="F21" s="27"/>
      <c r="G21" s="27"/>
      <c r="H21" s="27"/>
      <c r="I21" s="31">
        <f t="shared" si="2"/>
        <v>0</v>
      </c>
      <c r="J21" s="27">
        <v>0</v>
      </c>
    </row>
    <row r="22" spans="1:11" ht="16.5" customHeight="1">
      <c r="A22" s="45"/>
      <c r="B22" s="21"/>
      <c r="C22" s="22"/>
      <c r="D22" s="25"/>
      <c r="E22" s="26" t="s">
        <v>57</v>
      </c>
      <c r="F22" s="27"/>
      <c r="G22" s="27">
        <v>1300000</v>
      </c>
      <c r="H22" s="27"/>
      <c r="I22" s="31">
        <f t="shared" si="2"/>
        <v>86000</v>
      </c>
      <c r="J22" s="27">
        <v>1386000</v>
      </c>
    </row>
    <row r="23" spans="1:11" ht="16.5" customHeight="1">
      <c r="A23" s="45"/>
      <c r="B23" s="21"/>
      <c r="C23" s="22"/>
      <c r="D23" s="25"/>
      <c r="E23" s="29" t="s">
        <v>59</v>
      </c>
      <c r="F23" s="27"/>
      <c r="G23" s="27"/>
      <c r="H23" s="27"/>
      <c r="I23" s="31">
        <f t="shared" si="2"/>
        <v>111189</v>
      </c>
      <c r="J23" s="27">
        <v>111189</v>
      </c>
    </row>
    <row r="24" spans="1:11" ht="16.5" customHeight="1">
      <c r="A24" s="45"/>
      <c r="B24" s="56" t="s">
        <v>25</v>
      </c>
      <c r="C24" s="32" t="s">
        <v>70</v>
      </c>
      <c r="D24" s="33">
        <f>SUM(J24)</f>
        <v>104847263</v>
      </c>
      <c r="E24" s="55" t="s">
        <v>91</v>
      </c>
      <c r="F24" s="24">
        <f>SUM(F25:F30)</f>
        <v>34070495</v>
      </c>
      <c r="G24" s="24">
        <f t="shared" ref="G24:H24" si="3">SUM(G25:G30)</f>
        <v>0</v>
      </c>
      <c r="H24" s="24">
        <f t="shared" si="3"/>
        <v>19947653</v>
      </c>
      <c r="I24" s="24">
        <f>SUM(I25:I30)</f>
        <v>50829115</v>
      </c>
      <c r="J24" s="24">
        <f>SUM(J25:J30)</f>
        <v>104847263</v>
      </c>
      <c r="K24" s="58"/>
    </row>
    <row r="25" spans="1:11" ht="16.5" customHeight="1">
      <c r="A25" s="45"/>
      <c r="B25" s="21"/>
      <c r="C25" s="22"/>
      <c r="D25" s="25"/>
      <c r="E25" s="28" t="s">
        <v>60</v>
      </c>
      <c r="F25" s="27">
        <v>22532137</v>
      </c>
      <c r="G25" s="27"/>
      <c r="H25" s="27"/>
      <c r="I25" s="31">
        <f t="shared" si="2"/>
        <v>4172209</v>
      </c>
      <c r="J25" s="27">
        <v>26704346</v>
      </c>
    </row>
    <row r="26" spans="1:11" ht="16.5" customHeight="1">
      <c r="A26" s="45"/>
      <c r="B26" s="21"/>
      <c r="C26" s="22"/>
      <c r="D26" s="25"/>
      <c r="E26" s="28" t="s">
        <v>112</v>
      </c>
      <c r="F26" s="27"/>
      <c r="G26" s="27"/>
      <c r="H26" s="27"/>
      <c r="I26" s="31">
        <f t="shared" si="2"/>
        <v>3415334</v>
      </c>
      <c r="J26" s="27">
        <v>3415334</v>
      </c>
    </row>
    <row r="27" spans="1:11" ht="16.5" customHeight="1">
      <c r="A27" s="45"/>
      <c r="B27" s="21"/>
      <c r="C27" s="22"/>
      <c r="D27" s="25"/>
      <c r="E27" s="28" t="s">
        <v>61</v>
      </c>
      <c r="F27" s="27">
        <v>8568358</v>
      </c>
      <c r="G27" s="27"/>
      <c r="H27" s="27">
        <v>19947653</v>
      </c>
      <c r="I27" s="31">
        <f t="shared" si="2"/>
        <v>37764309</v>
      </c>
      <c r="J27" s="27">
        <v>66280320</v>
      </c>
    </row>
    <row r="28" spans="1:11" ht="16.5" customHeight="1">
      <c r="A28" s="45"/>
      <c r="B28" s="21"/>
      <c r="C28" s="22"/>
      <c r="D28" s="25"/>
      <c r="E28" s="68" t="s">
        <v>116</v>
      </c>
      <c r="F28" s="27">
        <v>1016000</v>
      </c>
      <c r="G28" s="27"/>
      <c r="H28" s="27"/>
      <c r="I28" s="31">
        <f t="shared" si="2"/>
        <v>246252</v>
      </c>
      <c r="J28" s="27">
        <v>1262252</v>
      </c>
    </row>
    <row r="29" spans="1:11" ht="16.5" customHeight="1">
      <c r="A29" s="45"/>
      <c r="B29" s="21"/>
      <c r="C29" s="22"/>
      <c r="D29" s="25"/>
      <c r="E29" s="68" t="s">
        <v>117</v>
      </c>
      <c r="F29" s="27">
        <v>1954000</v>
      </c>
      <c r="G29" s="27"/>
      <c r="H29" s="27"/>
      <c r="I29" s="31">
        <f t="shared" si="2"/>
        <v>5024270</v>
      </c>
      <c r="J29" s="27">
        <v>6978270</v>
      </c>
    </row>
    <row r="30" spans="1:11" ht="16.5" customHeight="1">
      <c r="A30" s="48"/>
      <c r="B30" s="34"/>
      <c r="C30" s="35"/>
      <c r="D30" s="36"/>
      <c r="E30" s="28" t="s">
        <v>62</v>
      </c>
      <c r="F30" s="27"/>
      <c r="G30" s="27"/>
      <c r="H30" s="27"/>
      <c r="I30" s="24">
        <f t="shared" si="2"/>
        <v>206741</v>
      </c>
      <c r="J30" s="27">
        <v>206741</v>
      </c>
    </row>
    <row r="31" spans="1:11" ht="16.5" customHeight="1">
      <c r="A31" s="45" t="s">
        <v>89</v>
      </c>
      <c r="B31" s="49"/>
      <c r="C31" s="50"/>
      <c r="D31" s="44">
        <f>SUM(D32,D34,D36)</f>
        <v>158259366</v>
      </c>
      <c r="E31" s="43" t="s">
        <v>90</v>
      </c>
      <c r="F31" s="44">
        <f t="shared" ref="F31:J31" si="4">SUM(F32,F34,F36)</f>
        <v>30304914</v>
      </c>
      <c r="G31" s="44">
        <f t="shared" si="4"/>
        <v>0</v>
      </c>
      <c r="H31" s="44">
        <f t="shared" si="4"/>
        <v>50000</v>
      </c>
      <c r="I31" s="44">
        <f>SUM(I32,I34,I36)</f>
        <v>127904452</v>
      </c>
      <c r="J31" s="44">
        <f t="shared" si="4"/>
        <v>158259366</v>
      </c>
      <c r="K31" s="58"/>
    </row>
    <row r="32" spans="1:11" ht="16.5" customHeight="1">
      <c r="A32" s="45"/>
      <c r="B32" s="56" t="s">
        <v>19</v>
      </c>
      <c r="C32" s="37" t="s">
        <v>31</v>
      </c>
      <c r="D32" s="31">
        <f>SUM(J32)</f>
        <v>28395906</v>
      </c>
      <c r="E32" s="55" t="s">
        <v>91</v>
      </c>
      <c r="F32" s="24">
        <f>SUM(F33)</f>
        <v>15867251</v>
      </c>
      <c r="G32" s="24">
        <f t="shared" ref="G32:J32" si="5">SUM(G33)</f>
        <v>0</v>
      </c>
      <c r="H32" s="24">
        <f t="shared" si="5"/>
        <v>0</v>
      </c>
      <c r="I32" s="24">
        <f t="shared" si="5"/>
        <v>12528655</v>
      </c>
      <c r="J32" s="24">
        <f t="shared" si="5"/>
        <v>28395906</v>
      </c>
      <c r="K32" s="58"/>
    </row>
    <row r="33" spans="1:11" ht="16.5" customHeight="1">
      <c r="A33" s="45"/>
      <c r="B33" s="34"/>
      <c r="C33" s="38"/>
      <c r="D33" s="39"/>
      <c r="E33" s="26" t="s">
        <v>63</v>
      </c>
      <c r="F33" s="27">
        <v>15867251</v>
      </c>
      <c r="G33" s="27"/>
      <c r="H33" s="27"/>
      <c r="I33" s="31">
        <f t="shared" si="2"/>
        <v>12528655</v>
      </c>
      <c r="J33" s="27">
        <v>28395906</v>
      </c>
    </row>
    <row r="34" spans="1:11" ht="16.5" customHeight="1">
      <c r="A34" s="45"/>
      <c r="B34" s="56" t="s">
        <v>20</v>
      </c>
      <c r="C34" s="32" t="s">
        <v>32</v>
      </c>
      <c r="D34" s="31">
        <f>SUM(J34)</f>
        <v>60780626</v>
      </c>
      <c r="E34" s="55" t="s">
        <v>91</v>
      </c>
      <c r="F34" s="24">
        <f>SUM(F35)</f>
        <v>4596525</v>
      </c>
      <c r="G34" s="24">
        <f>SUM(G35)</f>
        <v>0</v>
      </c>
      <c r="H34" s="24">
        <f t="shared" ref="H34:J34" si="6">SUM(H35)</f>
        <v>50000</v>
      </c>
      <c r="I34" s="24">
        <f t="shared" si="6"/>
        <v>56134101</v>
      </c>
      <c r="J34" s="24">
        <f t="shared" si="6"/>
        <v>60780626</v>
      </c>
      <c r="K34" s="58"/>
    </row>
    <row r="35" spans="1:11" ht="16.5" customHeight="1">
      <c r="A35" s="45"/>
      <c r="B35" s="34"/>
      <c r="C35" s="35"/>
      <c r="D35" s="36"/>
      <c r="E35" s="26" t="s">
        <v>64</v>
      </c>
      <c r="F35" s="27">
        <v>4596525</v>
      </c>
      <c r="G35" s="27"/>
      <c r="H35" s="27">
        <v>50000</v>
      </c>
      <c r="I35" s="31">
        <f t="shared" ref="I35" si="7">J35-SUM(F35,G35,H35)</f>
        <v>56134101</v>
      </c>
      <c r="J35" s="27">
        <v>60780626</v>
      </c>
    </row>
    <row r="36" spans="1:11" ht="16.5" customHeight="1">
      <c r="A36" s="45"/>
      <c r="B36" s="57" t="s">
        <v>21</v>
      </c>
      <c r="C36" s="22" t="s">
        <v>33</v>
      </c>
      <c r="D36" s="23">
        <f>SUM(J36)</f>
        <v>69082834</v>
      </c>
      <c r="E36" s="55" t="s">
        <v>91</v>
      </c>
      <c r="F36" s="24">
        <f>SUM(F37:F38)</f>
        <v>9841138</v>
      </c>
      <c r="G36" s="24">
        <f t="shared" ref="G36:J36" si="8">SUM(G37:G38)</f>
        <v>0</v>
      </c>
      <c r="H36" s="24">
        <f t="shared" si="8"/>
        <v>0</v>
      </c>
      <c r="I36" s="24">
        <f t="shared" si="8"/>
        <v>59241696</v>
      </c>
      <c r="J36" s="24">
        <f t="shared" si="8"/>
        <v>69082834</v>
      </c>
      <c r="K36" s="58"/>
    </row>
    <row r="37" spans="1:11" ht="16.5" customHeight="1">
      <c r="A37" s="45"/>
      <c r="B37" s="21"/>
      <c r="C37" s="22" t="s">
        <v>67</v>
      </c>
      <c r="D37" s="25"/>
      <c r="E37" s="26" t="s">
        <v>65</v>
      </c>
      <c r="F37" s="27"/>
      <c r="G37" s="27"/>
      <c r="H37" s="27"/>
      <c r="I37" s="31">
        <f t="shared" ref="I37:I51" si="9">J37-SUM(F37,G37,H37)</f>
        <v>52890316</v>
      </c>
      <c r="J37" s="27">
        <v>52890316</v>
      </c>
    </row>
    <row r="38" spans="1:11" ht="16.5" customHeight="1">
      <c r="A38" s="48"/>
      <c r="B38" s="34"/>
      <c r="C38" s="35"/>
      <c r="D38" s="36"/>
      <c r="E38" s="26" t="s">
        <v>66</v>
      </c>
      <c r="F38" s="27">
        <v>9841138</v>
      </c>
      <c r="G38" s="27"/>
      <c r="H38" s="27"/>
      <c r="I38" s="24">
        <f t="shared" si="9"/>
        <v>6351380</v>
      </c>
      <c r="J38" s="27">
        <v>16192518</v>
      </c>
    </row>
    <row r="39" spans="1:11" ht="16.5" customHeight="1">
      <c r="A39" s="45" t="s">
        <v>18</v>
      </c>
      <c r="B39" s="51"/>
      <c r="C39" s="50"/>
      <c r="D39" s="44">
        <f>SUM(D40,D44,D47)</f>
        <v>21456163</v>
      </c>
      <c r="E39" s="43" t="s">
        <v>90</v>
      </c>
      <c r="F39" s="44">
        <f t="shared" ref="F39:J39" si="10">SUM(F40,F44,F47)</f>
        <v>1910559</v>
      </c>
      <c r="G39" s="44">
        <f t="shared" si="10"/>
        <v>3800000</v>
      </c>
      <c r="H39" s="44">
        <f t="shared" si="10"/>
        <v>2971975</v>
      </c>
      <c r="I39" s="44">
        <f t="shared" si="10"/>
        <v>12773629</v>
      </c>
      <c r="J39" s="44">
        <f t="shared" si="10"/>
        <v>21456163</v>
      </c>
      <c r="K39" s="58"/>
    </row>
    <row r="40" spans="1:11" ht="16.5" customHeight="1">
      <c r="A40" s="54"/>
      <c r="B40" s="56" t="s">
        <v>34</v>
      </c>
      <c r="C40" s="32" t="s">
        <v>37</v>
      </c>
      <c r="D40" s="33">
        <f>SUM(J40)</f>
        <v>6969737</v>
      </c>
      <c r="E40" s="55" t="s">
        <v>91</v>
      </c>
      <c r="F40" s="24">
        <f>SUM(F41:F43)</f>
        <v>1458559</v>
      </c>
      <c r="G40" s="24">
        <f t="shared" ref="G40:J40" si="11">SUM(G41:G43)</f>
        <v>3800000</v>
      </c>
      <c r="H40" s="24">
        <f t="shared" si="11"/>
        <v>60420</v>
      </c>
      <c r="I40" s="24">
        <f t="shared" si="11"/>
        <v>1650758</v>
      </c>
      <c r="J40" s="24">
        <f t="shared" si="11"/>
        <v>6969737</v>
      </c>
      <c r="K40" s="58"/>
    </row>
    <row r="41" spans="1:11" ht="16.5" customHeight="1">
      <c r="A41" s="45"/>
      <c r="B41" s="40"/>
      <c r="C41" s="22" t="s">
        <v>110</v>
      </c>
      <c r="D41" s="25"/>
      <c r="E41" s="28" t="s">
        <v>78</v>
      </c>
      <c r="F41" s="27">
        <v>291000</v>
      </c>
      <c r="G41" s="27"/>
      <c r="H41" s="27"/>
      <c r="I41" s="31">
        <f t="shared" si="9"/>
        <v>382966</v>
      </c>
      <c r="J41" s="27">
        <v>673966</v>
      </c>
    </row>
    <row r="42" spans="1:11" ht="16.5" customHeight="1">
      <c r="A42" s="45"/>
      <c r="B42" s="40"/>
      <c r="C42" s="22" t="s">
        <v>73</v>
      </c>
      <c r="D42" s="25"/>
      <c r="E42" s="28" t="s">
        <v>109</v>
      </c>
      <c r="F42" s="27">
        <v>1125000</v>
      </c>
      <c r="G42" s="27">
        <v>3800000</v>
      </c>
      <c r="H42" s="27"/>
      <c r="I42" s="31">
        <f t="shared" si="9"/>
        <v>1238796</v>
      </c>
      <c r="J42" s="27">
        <v>6163796</v>
      </c>
    </row>
    <row r="43" spans="1:11" ht="16.5" customHeight="1">
      <c r="A43" s="45"/>
      <c r="B43" s="21"/>
      <c r="C43" s="22"/>
      <c r="D43" s="25"/>
      <c r="E43" s="28" t="s">
        <v>80</v>
      </c>
      <c r="F43" s="27">
        <v>42559</v>
      </c>
      <c r="G43" s="27"/>
      <c r="H43" s="27">
        <v>60420</v>
      </c>
      <c r="I43" s="31">
        <f t="shared" si="9"/>
        <v>28996</v>
      </c>
      <c r="J43" s="27">
        <v>131975</v>
      </c>
    </row>
    <row r="44" spans="1:11" ht="16.5" customHeight="1">
      <c r="A44" s="45"/>
      <c r="B44" s="56" t="s">
        <v>26</v>
      </c>
      <c r="C44" s="32" t="s">
        <v>35</v>
      </c>
      <c r="D44" s="33">
        <f>SUM(J44)</f>
        <v>5837423</v>
      </c>
      <c r="E44" s="55" t="s">
        <v>91</v>
      </c>
      <c r="F44" s="24">
        <f>SUM(F45:F46)</f>
        <v>91000</v>
      </c>
      <c r="G44" s="24">
        <f t="shared" ref="G44:J44" si="12">SUM(G45:G46)</f>
        <v>0</v>
      </c>
      <c r="H44" s="24">
        <f t="shared" si="12"/>
        <v>0</v>
      </c>
      <c r="I44" s="24">
        <f t="shared" si="12"/>
        <v>5746423</v>
      </c>
      <c r="J44" s="24">
        <f t="shared" si="12"/>
        <v>5837423</v>
      </c>
      <c r="K44" s="58"/>
    </row>
    <row r="45" spans="1:11" ht="16.5" customHeight="1">
      <c r="A45" s="45"/>
      <c r="B45" s="21"/>
      <c r="C45" s="22" t="s">
        <v>74</v>
      </c>
      <c r="D45" s="25"/>
      <c r="E45" s="28" t="s">
        <v>81</v>
      </c>
      <c r="F45" s="27"/>
      <c r="G45" s="27"/>
      <c r="H45" s="27"/>
      <c r="I45" s="31">
        <f t="shared" si="9"/>
        <v>176717</v>
      </c>
      <c r="J45" s="27">
        <v>176717</v>
      </c>
    </row>
    <row r="46" spans="1:11" ht="16.5" customHeight="1">
      <c r="A46" s="45"/>
      <c r="B46" s="34"/>
      <c r="C46" s="35"/>
      <c r="D46" s="36"/>
      <c r="E46" s="28" t="s">
        <v>82</v>
      </c>
      <c r="F46" s="27">
        <v>91000</v>
      </c>
      <c r="G46" s="27"/>
      <c r="H46" s="27"/>
      <c r="I46" s="31">
        <f t="shared" si="9"/>
        <v>5569706</v>
      </c>
      <c r="J46" s="27">
        <v>5660706</v>
      </c>
    </row>
    <row r="47" spans="1:11" ht="16.5" customHeight="1">
      <c r="A47" s="45"/>
      <c r="B47" s="57" t="s">
        <v>27</v>
      </c>
      <c r="C47" s="22" t="s">
        <v>36</v>
      </c>
      <c r="D47" s="23">
        <f>SUM(J47)</f>
        <v>8649003</v>
      </c>
      <c r="E47" s="55" t="s">
        <v>91</v>
      </c>
      <c r="F47" s="24">
        <f>SUM(F48:F51)</f>
        <v>361000</v>
      </c>
      <c r="G47" s="24">
        <f t="shared" ref="G47:J47" si="13">SUM(G48:G51)</f>
        <v>0</v>
      </c>
      <c r="H47" s="24">
        <f t="shared" si="13"/>
        <v>2911555</v>
      </c>
      <c r="I47" s="24">
        <f t="shared" si="13"/>
        <v>5376448</v>
      </c>
      <c r="J47" s="24">
        <f t="shared" si="13"/>
        <v>8649003</v>
      </c>
      <c r="K47" s="58"/>
    </row>
    <row r="48" spans="1:11" ht="16.5" customHeight="1">
      <c r="A48" s="45"/>
      <c r="B48" s="21"/>
      <c r="C48" s="22" t="s">
        <v>75</v>
      </c>
      <c r="D48" s="25"/>
      <c r="E48" s="28" t="s">
        <v>83</v>
      </c>
      <c r="F48" s="27">
        <v>4000</v>
      </c>
      <c r="G48" s="27"/>
      <c r="H48" s="27">
        <v>512510</v>
      </c>
      <c r="I48" s="31">
        <f t="shared" si="9"/>
        <v>1691080</v>
      </c>
      <c r="J48" s="27">
        <v>2207590</v>
      </c>
    </row>
    <row r="49" spans="1:11" ht="16.5" customHeight="1">
      <c r="A49" s="45"/>
      <c r="B49" s="21"/>
      <c r="C49" s="22" t="s">
        <v>76</v>
      </c>
      <c r="D49" s="25"/>
      <c r="E49" s="28" t="s">
        <v>84</v>
      </c>
      <c r="F49" s="27">
        <v>115000</v>
      </c>
      <c r="G49" s="27"/>
      <c r="H49" s="27"/>
      <c r="I49" s="31">
        <f t="shared" si="9"/>
        <v>2308010</v>
      </c>
      <c r="J49" s="27">
        <v>2423010</v>
      </c>
    </row>
    <row r="50" spans="1:11" ht="16.5" customHeight="1">
      <c r="A50" s="45"/>
      <c r="B50" s="21"/>
      <c r="C50" s="22" t="s">
        <v>77</v>
      </c>
      <c r="D50" s="25"/>
      <c r="E50" s="28" t="s">
        <v>85</v>
      </c>
      <c r="F50" s="27">
        <v>242000</v>
      </c>
      <c r="G50" s="27"/>
      <c r="H50" s="27">
        <v>2212958</v>
      </c>
      <c r="I50" s="31">
        <f t="shared" si="9"/>
        <v>833149</v>
      </c>
      <c r="J50" s="27">
        <v>3288107</v>
      </c>
    </row>
    <row r="51" spans="1:11" ht="16.5" customHeight="1">
      <c r="A51" s="48"/>
      <c r="B51" s="34"/>
      <c r="C51" s="35"/>
      <c r="D51" s="36"/>
      <c r="E51" s="28" t="s">
        <v>86</v>
      </c>
      <c r="F51" s="27"/>
      <c r="G51" s="27"/>
      <c r="H51" s="27">
        <v>186087</v>
      </c>
      <c r="I51" s="24">
        <f t="shared" si="9"/>
        <v>544209</v>
      </c>
      <c r="J51" s="27">
        <v>730296</v>
      </c>
    </row>
    <row r="52" spans="1:11" ht="16.5" customHeight="1">
      <c r="A52" s="164" t="s">
        <v>92</v>
      </c>
      <c r="B52" s="164"/>
      <c r="C52" s="164"/>
      <c r="D52" s="52">
        <f>SUM(D4,D31,D39)</f>
        <v>523854767</v>
      </c>
      <c r="E52" s="53"/>
      <c r="F52" s="52">
        <f>SUM(F4,F31,F39)</f>
        <v>213290867</v>
      </c>
      <c r="G52" s="52">
        <f>SUM(G4,G31,G39)</f>
        <v>5400000</v>
      </c>
      <c r="H52" s="52">
        <f>SUM(H4,H31,H39)</f>
        <v>25292964</v>
      </c>
      <c r="I52" s="52">
        <f>SUM(I4,I31,I39)</f>
        <v>279870936</v>
      </c>
      <c r="J52" s="52">
        <f>SUM(J4,J31,J39)</f>
        <v>523854767</v>
      </c>
      <c r="K52" s="58"/>
    </row>
  </sheetData>
  <mergeCells count="1">
    <mergeCell ref="A52:C52"/>
  </mergeCells>
  <phoneticPr fontId="2"/>
  <pageMargins left="0.7" right="0.7" top="0.75" bottom="0.75" header="0.3" footer="0.3"/>
  <pageSetup paperSize="9" scale="61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7"/>
  <sheetViews>
    <sheetView showGridLines="0" view="pageBreakPreview" topLeftCell="B1" zoomScale="60" zoomScaleNormal="70" workbookViewId="0">
      <selection activeCell="F5" sqref="F5"/>
    </sheetView>
  </sheetViews>
  <sheetFormatPr defaultRowHeight="29.25" customHeight="1"/>
  <cols>
    <col min="1" max="1" width="9.625" style="11" customWidth="1"/>
    <col min="2" max="8" width="19.25" style="1" customWidth="1"/>
    <col min="9" max="9" width="26.625" style="1" customWidth="1"/>
    <col min="10" max="10" width="19.25" style="1" customWidth="1"/>
    <col min="11" max="12" width="5.25" style="1" customWidth="1"/>
    <col min="13" max="15" width="15.75" style="1" customWidth="1"/>
    <col min="16" max="16" width="21.5" style="1" customWidth="1"/>
    <col min="17" max="16384" width="9" style="1"/>
  </cols>
  <sheetData>
    <row r="1" spans="1:16" ht="23.25" customHeight="1">
      <c r="B1" s="162" t="s">
        <v>107</v>
      </c>
      <c r="C1" s="162"/>
      <c r="D1" s="162"/>
      <c r="E1" s="162"/>
      <c r="F1" s="162"/>
      <c r="G1" s="162"/>
      <c r="H1" s="162"/>
      <c r="I1" s="162"/>
      <c r="J1" s="162"/>
    </row>
    <row r="2" spans="1:16" ht="23.25" customHeight="1">
      <c r="A2" s="12"/>
      <c r="B2" s="162"/>
      <c r="C2" s="162"/>
      <c r="D2" s="162"/>
      <c r="E2" s="162"/>
      <c r="F2" s="162"/>
      <c r="G2" s="162"/>
      <c r="H2" s="162"/>
      <c r="I2" s="162"/>
      <c r="J2" s="162"/>
    </row>
    <row r="3" spans="1:16" ht="23.25" customHeight="1"/>
    <row r="4" spans="1:16" s="7" customFormat="1" ht="23.25" customHeight="1">
      <c r="A4" s="11"/>
      <c r="B4" s="5" t="s">
        <v>0</v>
      </c>
      <c r="C4" s="6" t="s">
        <v>1</v>
      </c>
      <c r="D4" s="6"/>
      <c r="E4" s="6"/>
      <c r="F4" s="6"/>
      <c r="I4" s="4">
        <v>39940</v>
      </c>
    </row>
    <row r="5" spans="1:16" ht="23.25" customHeight="1">
      <c r="B5" s="2"/>
      <c r="C5" s="3"/>
      <c r="D5" s="3"/>
      <c r="E5" s="3"/>
      <c r="F5" s="3"/>
    </row>
    <row r="6" spans="1:16" s="7" customFormat="1" ht="23.25" customHeight="1">
      <c r="A6" s="11"/>
      <c r="B6" s="5" t="s">
        <v>2</v>
      </c>
      <c r="C6" s="6" t="s">
        <v>3</v>
      </c>
      <c r="D6" s="6"/>
      <c r="E6" s="6"/>
      <c r="F6" s="6"/>
      <c r="I6" s="4">
        <v>499396</v>
      </c>
    </row>
    <row r="7" spans="1:16" ht="23.25" customHeight="1"/>
    <row r="8" spans="1:16" ht="29.25" customHeight="1">
      <c r="B8" s="7" t="s">
        <v>4</v>
      </c>
      <c r="J8" s="8" t="s">
        <v>14</v>
      </c>
    </row>
    <row r="9" spans="1:16" s="7" customFormat="1" ht="29.25" customHeight="1">
      <c r="A9" s="11"/>
      <c r="B9" s="160" t="s">
        <v>5</v>
      </c>
      <c r="C9" s="160" t="s">
        <v>6</v>
      </c>
      <c r="D9" s="160"/>
      <c r="E9" s="163" t="s">
        <v>111</v>
      </c>
      <c r="F9" s="160" t="s">
        <v>13</v>
      </c>
      <c r="G9" s="160"/>
      <c r="H9" s="160"/>
      <c r="I9" s="160"/>
      <c r="J9" s="160"/>
    </row>
    <row r="10" spans="1:16" s="7" customFormat="1" ht="29.25" customHeight="1">
      <c r="A10" s="11"/>
      <c r="B10" s="160"/>
      <c r="C10" s="160"/>
      <c r="D10" s="160"/>
      <c r="E10" s="160"/>
      <c r="F10" s="160" t="s">
        <v>10</v>
      </c>
      <c r="G10" s="160"/>
      <c r="H10" s="160"/>
      <c r="I10" s="160" t="s">
        <v>11</v>
      </c>
      <c r="J10" s="160"/>
    </row>
    <row r="11" spans="1:16" s="7" customFormat="1" ht="41.25" customHeight="1">
      <c r="A11" s="11"/>
      <c r="B11" s="160"/>
      <c r="C11" s="160"/>
      <c r="D11" s="160"/>
      <c r="E11" s="160"/>
      <c r="F11" s="65" t="s">
        <v>7</v>
      </c>
      <c r="G11" s="65" t="s">
        <v>8</v>
      </c>
      <c r="H11" s="65" t="s">
        <v>9</v>
      </c>
      <c r="I11" s="61" t="s">
        <v>12</v>
      </c>
      <c r="J11" s="65" t="s">
        <v>9</v>
      </c>
      <c r="M11" s="10" t="s">
        <v>29</v>
      </c>
      <c r="N11" s="10" t="s">
        <v>29</v>
      </c>
    </row>
    <row r="12" spans="1:16" s="7" customFormat="1" ht="29.25" customHeight="1">
      <c r="A12" s="11"/>
      <c r="B12" s="160" t="s">
        <v>16</v>
      </c>
      <c r="C12" s="161" t="s">
        <v>28</v>
      </c>
      <c r="D12" s="161"/>
      <c r="E12" s="59">
        <v>194491</v>
      </c>
      <c r="F12" s="59">
        <v>139357</v>
      </c>
      <c r="G12" s="59">
        <v>0</v>
      </c>
      <c r="H12" s="59">
        <v>977</v>
      </c>
      <c r="I12" s="60">
        <f>ROUND(I24/M24*M12,0)</f>
        <v>8462</v>
      </c>
      <c r="J12" s="59">
        <f>E12-(F12+G12+H12+I12)</f>
        <v>45695</v>
      </c>
      <c r="M12" s="9">
        <f>E12-(SUM(F12,G12,H12))</f>
        <v>54157</v>
      </c>
      <c r="N12" s="9">
        <f>I12+J12</f>
        <v>54157</v>
      </c>
      <c r="O12" s="9">
        <f>M12-N12</f>
        <v>0</v>
      </c>
      <c r="P12" s="7">
        <f>M12/M24*I24</f>
        <v>8462.4285222453473</v>
      </c>
    </row>
    <row r="13" spans="1:16" s="7" customFormat="1" ht="29.25" customHeight="1">
      <c r="A13" s="11"/>
      <c r="B13" s="160"/>
      <c r="C13" s="161" t="s">
        <v>24</v>
      </c>
      <c r="D13" s="161"/>
      <c r="E13" s="59">
        <v>41287</v>
      </c>
      <c r="F13" s="59">
        <v>2663</v>
      </c>
      <c r="G13" s="59">
        <v>1900</v>
      </c>
      <c r="H13" s="59">
        <v>1922</v>
      </c>
      <c r="I13" s="60">
        <f>ROUND(I24/M24*M13,0)</f>
        <v>5438</v>
      </c>
      <c r="J13" s="59">
        <f>E13-(F13+G13+H13+I13)</f>
        <v>29364</v>
      </c>
      <c r="M13" s="9">
        <f t="shared" ref="M13:M23" si="0">E13-(SUM(F13,G13,H13))</f>
        <v>34802</v>
      </c>
      <c r="N13" s="9">
        <f t="shared" ref="N13:N23" si="1">I13+J13</f>
        <v>34802</v>
      </c>
      <c r="O13" s="9">
        <f t="shared" ref="O13:O24" si="2">M13-N13</f>
        <v>0</v>
      </c>
      <c r="P13" s="7">
        <f>M13/M24*I24</f>
        <v>5438.067792366317</v>
      </c>
    </row>
    <row r="14" spans="1:16" s="7" customFormat="1" ht="29.25" customHeight="1">
      <c r="A14" s="11"/>
      <c r="B14" s="160"/>
      <c r="C14" s="161" t="s">
        <v>25</v>
      </c>
      <c r="D14" s="161"/>
      <c r="E14" s="59">
        <v>98785</v>
      </c>
      <c r="F14" s="59">
        <v>31852</v>
      </c>
      <c r="G14" s="59">
        <v>0</v>
      </c>
      <c r="H14" s="59">
        <v>26840</v>
      </c>
      <c r="I14" s="60">
        <f>ROUND(I24/M24*M14,0)</f>
        <v>6265</v>
      </c>
      <c r="J14" s="59">
        <f t="shared" ref="J14" si="3">E14-(F14+G14+H14+I14)</f>
        <v>33828</v>
      </c>
      <c r="M14" s="9">
        <f t="shared" si="0"/>
        <v>40093</v>
      </c>
      <c r="N14" s="9">
        <f t="shared" si="1"/>
        <v>40093</v>
      </c>
      <c r="O14" s="9">
        <f t="shared" si="2"/>
        <v>0</v>
      </c>
      <c r="P14" s="7">
        <f>M14/M24*I24</f>
        <v>6264.8253548457769</v>
      </c>
    </row>
    <row r="15" spans="1:16" s="7" customFormat="1" ht="29.25" customHeight="1">
      <c r="A15" s="11"/>
      <c r="B15" s="160"/>
      <c r="C15" s="160" t="s">
        <v>105</v>
      </c>
      <c r="D15" s="160"/>
      <c r="E15" s="59">
        <f t="shared" ref="E15:I15" si="4">SUM(E12:E14)</f>
        <v>334563</v>
      </c>
      <c r="F15" s="59">
        <f t="shared" si="4"/>
        <v>173872</v>
      </c>
      <c r="G15" s="59">
        <f t="shared" si="4"/>
        <v>1900</v>
      </c>
      <c r="H15" s="59">
        <f t="shared" si="4"/>
        <v>29739</v>
      </c>
      <c r="I15" s="60">
        <f t="shared" si="4"/>
        <v>20165</v>
      </c>
      <c r="J15" s="59">
        <f>SUM(J12:J14)</f>
        <v>108887</v>
      </c>
      <c r="M15" s="9">
        <f t="shared" si="0"/>
        <v>129052</v>
      </c>
      <c r="N15" s="9">
        <f t="shared" si="1"/>
        <v>129052</v>
      </c>
      <c r="O15" s="9">
        <f t="shared" si="2"/>
        <v>0</v>
      </c>
      <c r="P15" s="7">
        <f>M15/M24*I24</f>
        <v>20165.32166945744</v>
      </c>
    </row>
    <row r="16" spans="1:16" s="7" customFormat="1" ht="29.25" customHeight="1">
      <c r="A16" s="11"/>
      <c r="B16" s="160" t="s">
        <v>17</v>
      </c>
      <c r="C16" s="161" t="s">
        <v>19</v>
      </c>
      <c r="D16" s="161"/>
      <c r="E16" s="59">
        <v>28547</v>
      </c>
      <c r="F16" s="59">
        <v>14927</v>
      </c>
      <c r="G16" s="59">
        <v>0</v>
      </c>
      <c r="H16" s="59">
        <v>0</v>
      </c>
      <c r="I16" s="60">
        <f>ROUND(I24/M24*M16,0)</f>
        <v>2128</v>
      </c>
      <c r="J16" s="59">
        <f>E16-(F16+G16+H16+I16)</f>
        <v>11492</v>
      </c>
      <c r="M16" s="9">
        <f t="shared" si="0"/>
        <v>13620</v>
      </c>
      <c r="N16" s="9">
        <f t="shared" si="1"/>
        <v>13620</v>
      </c>
      <c r="O16" s="9">
        <f t="shared" si="2"/>
        <v>0</v>
      </c>
      <c r="P16" s="7">
        <f>M16/M24*I24</f>
        <v>2128.224910408288</v>
      </c>
    </row>
    <row r="17" spans="1:16" s="7" customFormat="1" ht="29.25" customHeight="1">
      <c r="A17" s="11"/>
      <c r="B17" s="160"/>
      <c r="C17" s="161" t="s">
        <v>20</v>
      </c>
      <c r="D17" s="161"/>
      <c r="E17" s="59">
        <v>58735</v>
      </c>
      <c r="F17" s="59">
        <v>4499</v>
      </c>
      <c r="G17" s="59">
        <v>0</v>
      </c>
      <c r="H17" s="59">
        <v>0</v>
      </c>
      <c r="I17" s="60">
        <f>ROUND(I24/M24*M17,0)</f>
        <v>8475</v>
      </c>
      <c r="J17" s="59">
        <f t="shared" ref="J17:J18" si="5">E17-(F17+G17+H17+I17)</f>
        <v>45761</v>
      </c>
      <c r="M17" s="9">
        <f t="shared" si="0"/>
        <v>54236</v>
      </c>
      <c r="N17" s="9">
        <f t="shared" si="1"/>
        <v>54236</v>
      </c>
      <c r="O17" s="9">
        <f t="shared" si="2"/>
        <v>0</v>
      </c>
      <c r="P17" s="7">
        <f>M17/M24*I24</f>
        <v>8474.7728517550586</v>
      </c>
    </row>
    <row r="18" spans="1:16" s="7" customFormat="1" ht="29.25" customHeight="1">
      <c r="A18" s="11"/>
      <c r="B18" s="160"/>
      <c r="C18" s="161" t="s">
        <v>21</v>
      </c>
      <c r="D18" s="161"/>
      <c r="E18" s="59">
        <v>56146</v>
      </c>
      <c r="F18" s="59">
        <v>9893</v>
      </c>
      <c r="G18" s="59">
        <v>0</v>
      </c>
      <c r="H18" s="59">
        <v>0</v>
      </c>
      <c r="I18" s="60">
        <f>ROUND(I24/M24*M18,0)</f>
        <v>7227</v>
      </c>
      <c r="J18" s="59">
        <f t="shared" si="5"/>
        <v>39026</v>
      </c>
      <c r="M18" s="9">
        <f t="shared" si="0"/>
        <v>46253</v>
      </c>
      <c r="N18" s="9">
        <f>I18+J18</f>
        <v>46253</v>
      </c>
      <c r="O18" s="9">
        <f t="shared" si="2"/>
        <v>0</v>
      </c>
      <c r="P18" s="7">
        <f>M18/M24*I24</f>
        <v>7227.3705419320513</v>
      </c>
    </row>
    <row r="19" spans="1:16" s="7" customFormat="1" ht="29.25" customHeight="1">
      <c r="A19" s="11"/>
      <c r="B19" s="160"/>
      <c r="C19" s="160" t="s">
        <v>105</v>
      </c>
      <c r="D19" s="160"/>
      <c r="E19" s="59">
        <f>SUM(E16:E18)</f>
        <v>143428</v>
      </c>
      <c r="F19" s="59">
        <f t="shared" ref="F19:H19" si="6">SUM(F16:F18)</f>
        <v>29319</v>
      </c>
      <c r="G19" s="59">
        <f t="shared" si="6"/>
        <v>0</v>
      </c>
      <c r="H19" s="59">
        <f t="shared" si="6"/>
        <v>0</v>
      </c>
      <c r="I19" s="60">
        <f>SUM(I16:I18)</f>
        <v>17830</v>
      </c>
      <c r="J19" s="59">
        <f>SUM(J16:J18)</f>
        <v>96279</v>
      </c>
      <c r="M19" s="9">
        <f t="shared" si="0"/>
        <v>114109</v>
      </c>
      <c r="N19" s="9">
        <f t="shared" si="1"/>
        <v>114109</v>
      </c>
      <c r="O19" s="9">
        <f t="shared" si="2"/>
        <v>0</v>
      </c>
      <c r="P19" s="7">
        <f>M19/M24*I24</f>
        <v>17830.368304095398</v>
      </c>
    </row>
    <row r="20" spans="1:16" s="7" customFormat="1" ht="29.25" customHeight="1">
      <c r="A20" s="11"/>
      <c r="B20" s="160" t="s">
        <v>18</v>
      </c>
      <c r="C20" s="161" t="s">
        <v>23</v>
      </c>
      <c r="D20" s="161"/>
      <c r="E20" s="59">
        <v>7193</v>
      </c>
      <c r="F20" s="59">
        <v>1367</v>
      </c>
      <c r="G20" s="59">
        <v>4200</v>
      </c>
      <c r="H20" s="59">
        <v>0</v>
      </c>
      <c r="I20" s="60">
        <f>ROUND(I24/M24*M20,0)</f>
        <v>254</v>
      </c>
      <c r="J20" s="59">
        <f>E20-(F20+G20+H20+I20)</f>
        <v>1372</v>
      </c>
      <c r="M20" s="9">
        <f>E20-(SUM(F20,G20,H20))</f>
        <v>1626</v>
      </c>
      <c r="N20" s="9">
        <f t="shared" si="1"/>
        <v>1626</v>
      </c>
      <c r="O20" s="9">
        <f t="shared" si="2"/>
        <v>0</v>
      </c>
      <c r="P20" s="7">
        <f>M20/M24*I24</f>
        <v>254.07442763024051</v>
      </c>
    </row>
    <row r="21" spans="1:16" s="7" customFormat="1" ht="29.25" customHeight="1">
      <c r="A21" s="11"/>
      <c r="B21" s="160"/>
      <c r="C21" s="161" t="s">
        <v>26</v>
      </c>
      <c r="D21" s="161"/>
      <c r="E21" s="59">
        <v>5793</v>
      </c>
      <c r="F21" s="59">
        <v>95</v>
      </c>
      <c r="G21" s="59">
        <v>0</v>
      </c>
      <c r="H21" s="59">
        <v>12</v>
      </c>
      <c r="I21" s="60">
        <f>ROUND(I24/M24*M21,0)</f>
        <v>888</v>
      </c>
      <c r="J21" s="59">
        <f>E21-(F21+G21+H21+I21)</f>
        <v>4798</v>
      </c>
      <c r="M21" s="9">
        <f t="shared" si="0"/>
        <v>5686</v>
      </c>
      <c r="N21" s="9">
        <f t="shared" si="1"/>
        <v>5686</v>
      </c>
      <c r="O21" s="9">
        <f t="shared" si="2"/>
        <v>0</v>
      </c>
      <c r="P21" s="7">
        <f>M21/M24*I24</f>
        <v>888.47921002801206</v>
      </c>
    </row>
    <row r="22" spans="1:16" s="7" customFormat="1" ht="29.25" customHeight="1">
      <c r="A22" s="11"/>
      <c r="B22" s="160"/>
      <c r="C22" s="161" t="s">
        <v>27</v>
      </c>
      <c r="D22" s="161"/>
      <c r="E22" s="59">
        <v>8419</v>
      </c>
      <c r="F22" s="59">
        <v>595</v>
      </c>
      <c r="G22" s="59">
        <v>0</v>
      </c>
      <c r="H22" s="59">
        <v>2693</v>
      </c>
      <c r="I22" s="60">
        <f>ROUND(I24/M24*M22,0)</f>
        <v>802</v>
      </c>
      <c r="J22" s="59">
        <f t="shared" ref="J22" si="7">E22-(F22+G22+H22+I22)</f>
        <v>4329</v>
      </c>
      <c r="M22" s="9">
        <f t="shared" si="0"/>
        <v>5131</v>
      </c>
      <c r="N22" s="9">
        <f t="shared" si="1"/>
        <v>5131</v>
      </c>
      <c r="O22" s="9">
        <f t="shared" si="2"/>
        <v>0</v>
      </c>
      <c r="P22" s="7">
        <f>M22/M24*I24</f>
        <v>801.75638878890777</v>
      </c>
    </row>
    <row r="23" spans="1:16" s="7" customFormat="1" ht="29.25" customHeight="1">
      <c r="A23" s="11"/>
      <c r="B23" s="160"/>
      <c r="C23" s="160" t="s">
        <v>105</v>
      </c>
      <c r="D23" s="160"/>
      <c r="E23" s="59">
        <f>SUM(E20:E22)</f>
        <v>21405</v>
      </c>
      <c r="F23" s="59">
        <f t="shared" ref="F23:I23" si="8">SUM(F20:F22)</f>
        <v>2057</v>
      </c>
      <c r="G23" s="59">
        <f t="shared" si="8"/>
        <v>4200</v>
      </c>
      <c r="H23" s="59">
        <f t="shared" si="8"/>
        <v>2705</v>
      </c>
      <c r="I23" s="60">
        <f t="shared" si="8"/>
        <v>1944</v>
      </c>
      <c r="J23" s="59">
        <f>SUM(J20:J22)</f>
        <v>10499</v>
      </c>
      <c r="M23" s="9">
        <f t="shared" si="0"/>
        <v>12443</v>
      </c>
      <c r="N23" s="9">
        <f t="shared" si="1"/>
        <v>12443</v>
      </c>
      <c r="O23" s="9">
        <f t="shared" si="2"/>
        <v>0</v>
      </c>
      <c r="P23" s="7">
        <f>M23/M24*I24</f>
        <v>1944.3100264471605</v>
      </c>
    </row>
    <row r="24" spans="1:16" s="7" customFormat="1" ht="29.25" customHeight="1">
      <c r="A24" s="11"/>
      <c r="B24" s="160" t="s">
        <v>106</v>
      </c>
      <c r="C24" s="160"/>
      <c r="D24" s="160"/>
      <c r="E24" s="59">
        <f>SUM(E23,E19,E15)</f>
        <v>499396</v>
      </c>
      <c r="F24" s="59">
        <f t="shared" ref="F24:H24" si="9">SUM(F23,F19,F15)</f>
        <v>205248</v>
      </c>
      <c r="G24" s="59">
        <f t="shared" si="9"/>
        <v>6100</v>
      </c>
      <c r="H24" s="59">
        <f t="shared" si="9"/>
        <v>32444</v>
      </c>
      <c r="I24" s="60">
        <f>I4</f>
        <v>39940</v>
      </c>
      <c r="J24" s="59">
        <f>SUM(J23,J19,J15)</f>
        <v>215665</v>
      </c>
      <c r="M24" s="9">
        <f>E24-(SUM(F24,G24,H24))</f>
        <v>255604</v>
      </c>
      <c r="N24" s="9">
        <f>I24+J24</f>
        <v>255605</v>
      </c>
      <c r="O24" s="9">
        <f t="shared" si="2"/>
        <v>-1</v>
      </c>
      <c r="P24" s="7">
        <f>M24/M24*I24</f>
        <v>39940</v>
      </c>
    </row>
    <row r="25" spans="1:16" ht="29.25" customHeight="1">
      <c r="B25" s="7" t="s">
        <v>30</v>
      </c>
    </row>
    <row r="26" spans="1:16" ht="21.75" customHeight="1">
      <c r="I26" s="9"/>
      <c r="J26" s="9"/>
    </row>
    <row r="27" spans="1:16" ht="21.75" customHeight="1"/>
  </sheetData>
  <mergeCells count="23">
    <mergeCell ref="B1:J2"/>
    <mergeCell ref="B9:B11"/>
    <mergeCell ref="C9:D11"/>
    <mergeCell ref="E9:E11"/>
    <mergeCell ref="F9:J9"/>
    <mergeCell ref="F10:H10"/>
    <mergeCell ref="I10:J10"/>
    <mergeCell ref="B24:D24"/>
    <mergeCell ref="B12:B15"/>
    <mergeCell ref="C12:D12"/>
    <mergeCell ref="C13:D13"/>
    <mergeCell ref="C14:D14"/>
    <mergeCell ref="C15:D15"/>
    <mergeCell ref="B16:B19"/>
    <mergeCell ref="C16:D16"/>
    <mergeCell ref="C17:D17"/>
    <mergeCell ref="C18:D18"/>
    <mergeCell ref="C19:D19"/>
    <mergeCell ref="B20:B23"/>
    <mergeCell ref="C20:D20"/>
    <mergeCell ref="C21:D21"/>
    <mergeCell ref="C22:D22"/>
    <mergeCell ref="C23:D23"/>
  </mergeCells>
  <phoneticPr fontId="2"/>
  <pageMargins left="0.19685039370078741" right="0.70866141732283472" top="0.74803149606299213" bottom="0.74803149606299213" header="0.31496062992125984" footer="0.31496062992125984"/>
  <pageSetup paperSize="9" scale="72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topLeftCell="A4" zoomScale="80" zoomScaleNormal="80" workbookViewId="0">
      <selection activeCell="E27" sqref="E27"/>
    </sheetView>
  </sheetViews>
  <sheetFormatPr defaultRowHeight="16.5" customHeight="1"/>
  <cols>
    <col min="1" max="1" width="10.75" style="1" customWidth="1"/>
    <col min="2" max="2" width="22.875" style="1" customWidth="1"/>
    <col min="3" max="3" width="47.375" style="14" customWidth="1"/>
    <col min="4" max="4" width="13.75" style="15" customWidth="1"/>
    <col min="5" max="5" width="42.375" style="1" customWidth="1"/>
    <col min="6" max="9" width="13.5" style="15" customWidth="1"/>
    <col min="10" max="10" width="15.75" style="15" customWidth="1"/>
    <col min="11" max="16384" width="9" style="1"/>
  </cols>
  <sheetData>
    <row r="1" spans="1:11" ht="16.5" customHeight="1">
      <c r="A1" s="13" t="s">
        <v>108</v>
      </c>
    </row>
    <row r="2" spans="1:11" ht="16.5" customHeight="1">
      <c r="J2" s="16" t="s">
        <v>87</v>
      </c>
    </row>
    <row r="3" spans="1:11" ht="16.5" customHeight="1">
      <c r="A3" s="17" t="s">
        <v>5</v>
      </c>
      <c r="B3" s="17" t="s">
        <v>6</v>
      </c>
      <c r="C3" s="18" t="s">
        <v>71</v>
      </c>
      <c r="D3" s="19" t="s">
        <v>46</v>
      </c>
      <c r="E3" s="17" t="s">
        <v>6</v>
      </c>
      <c r="F3" s="19" t="s">
        <v>7</v>
      </c>
      <c r="G3" s="19" t="s">
        <v>8</v>
      </c>
      <c r="H3" s="19" t="s">
        <v>9</v>
      </c>
      <c r="I3" s="19" t="s">
        <v>11</v>
      </c>
      <c r="J3" s="20" t="s">
        <v>44</v>
      </c>
    </row>
    <row r="4" spans="1:11" ht="16.5" customHeight="1">
      <c r="A4" s="45" t="s">
        <v>16</v>
      </c>
      <c r="B4" s="46"/>
      <c r="C4" s="47"/>
      <c r="D4" s="42">
        <f>SUM(D5,D11,D24)</f>
        <v>334562999</v>
      </c>
      <c r="E4" s="43" t="s">
        <v>90</v>
      </c>
      <c r="F4" s="42">
        <f>SUM(F5,F11,F24)</f>
        <v>173872715</v>
      </c>
      <c r="G4" s="42">
        <f>SUM(G5,G11,G24)</f>
        <v>1900000</v>
      </c>
      <c r="H4" s="42">
        <f>SUM(H5,H11,H24)</f>
        <v>29739219</v>
      </c>
      <c r="I4" s="42">
        <f>SUM(I5,I11,I24)</f>
        <v>129051065</v>
      </c>
      <c r="J4" s="42">
        <f>SUM(J5,J11,J24)</f>
        <v>334562999</v>
      </c>
      <c r="K4" s="58"/>
    </row>
    <row r="5" spans="1:11" ht="16.5" customHeight="1">
      <c r="A5" s="45"/>
      <c r="B5" s="56" t="s">
        <v>28</v>
      </c>
      <c r="C5" s="32" t="s">
        <v>68</v>
      </c>
      <c r="D5" s="33">
        <f>SUM(J5)</f>
        <v>194491415</v>
      </c>
      <c r="E5" s="55" t="s">
        <v>91</v>
      </c>
      <c r="F5" s="24">
        <f>SUM(F6:F10)</f>
        <v>139357391</v>
      </c>
      <c r="G5" s="24">
        <f>SUM(G6:G10)</f>
        <v>0</v>
      </c>
      <c r="H5" s="24">
        <f>SUM(H6:H10)</f>
        <v>977395</v>
      </c>
      <c r="I5" s="24">
        <f t="shared" ref="I5:J5" si="0">SUM(I6:I10)</f>
        <v>54156629</v>
      </c>
      <c r="J5" s="24">
        <f t="shared" si="0"/>
        <v>194491415</v>
      </c>
      <c r="K5" s="58"/>
    </row>
    <row r="6" spans="1:11" ht="16.5" customHeight="1">
      <c r="A6" s="45"/>
      <c r="B6" s="21"/>
      <c r="C6" s="22"/>
      <c r="D6" s="25"/>
      <c r="E6" s="26" t="s">
        <v>40</v>
      </c>
      <c r="F6" s="27">
        <v>2638000</v>
      </c>
      <c r="G6" s="27"/>
      <c r="H6" s="27">
        <v>977395</v>
      </c>
      <c r="I6" s="24">
        <f>J6-SUM(F6,G6,H6)</f>
        <v>2789065</v>
      </c>
      <c r="J6" s="27">
        <v>6404460</v>
      </c>
    </row>
    <row r="7" spans="1:11" ht="16.5" customHeight="1">
      <c r="A7" s="45"/>
      <c r="B7" s="21"/>
      <c r="C7" s="22"/>
      <c r="D7" s="25"/>
      <c r="E7" s="26" t="s">
        <v>45</v>
      </c>
      <c r="F7" s="27"/>
      <c r="G7" s="27"/>
      <c r="H7" s="27"/>
      <c r="I7" s="24">
        <f>J7-SUM(F7,G7,H7)</f>
        <v>112439</v>
      </c>
      <c r="J7" s="27">
        <v>112439</v>
      </c>
    </row>
    <row r="8" spans="1:11" ht="16.5" customHeight="1">
      <c r="A8" s="45"/>
      <c r="B8" s="21"/>
      <c r="C8" s="22"/>
      <c r="D8" s="25"/>
      <c r="E8" s="28" t="s">
        <v>41</v>
      </c>
      <c r="F8" s="27">
        <v>134594891</v>
      </c>
      <c r="G8" s="27"/>
      <c r="H8" s="27"/>
      <c r="I8" s="24">
        <f t="shared" ref="I8:I9" si="1">J8-SUM(F8,G8,H8)</f>
        <v>43713631</v>
      </c>
      <c r="J8" s="27">
        <v>178308522</v>
      </c>
    </row>
    <row r="9" spans="1:11" ht="16.5" customHeight="1">
      <c r="A9" s="45"/>
      <c r="B9" s="21"/>
      <c r="C9" s="22"/>
      <c r="D9" s="25"/>
      <c r="E9" s="26" t="s">
        <v>42</v>
      </c>
      <c r="F9" s="27">
        <v>862500</v>
      </c>
      <c r="G9" s="27"/>
      <c r="H9" s="27"/>
      <c r="I9" s="24">
        <f t="shared" si="1"/>
        <v>146586</v>
      </c>
      <c r="J9" s="27">
        <v>1009086</v>
      </c>
    </row>
    <row r="10" spans="1:11" ht="16.5" customHeight="1">
      <c r="A10" s="45"/>
      <c r="B10" s="21"/>
      <c r="C10" s="22"/>
      <c r="D10" s="25"/>
      <c r="E10" s="29" t="s">
        <v>43</v>
      </c>
      <c r="F10" s="30">
        <v>1262000</v>
      </c>
      <c r="G10" s="30"/>
      <c r="H10" s="30"/>
      <c r="I10" s="31">
        <f>J10-SUM(F10,G10,H10)</f>
        <v>7394908</v>
      </c>
      <c r="J10" s="30">
        <v>8656908</v>
      </c>
    </row>
    <row r="11" spans="1:11" ht="16.5" customHeight="1">
      <c r="A11" s="45"/>
      <c r="B11" s="56" t="s">
        <v>24</v>
      </c>
      <c r="C11" s="32" t="s">
        <v>69</v>
      </c>
      <c r="D11" s="33">
        <f>SUM(J11)</f>
        <v>41286961</v>
      </c>
      <c r="E11" s="55" t="s">
        <v>91</v>
      </c>
      <c r="F11" s="24">
        <f>SUM(F12:F23)</f>
        <v>2663286</v>
      </c>
      <c r="G11" s="24">
        <f>SUM(G12:G23)</f>
        <v>1900000</v>
      </c>
      <c r="H11" s="24">
        <f>SUM(H12:H23)</f>
        <v>1921684</v>
      </c>
      <c r="I11" s="24">
        <f>SUM(I12:I23)</f>
        <v>34801991</v>
      </c>
      <c r="J11" s="24">
        <f>SUM(J12:J23)</f>
        <v>41286961</v>
      </c>
      <c r="K11" s="58"/>
    </row>
    <row r="12" spans="1:11" ht="16.5" customHeight="1">
      <c r="A12" s="45"/>
      <c r="B12" s="21"/>
      <c r="C12" s="22"/>
      <c r="D12" s="25"/>
      <c r="E12" s="26" t="s">
        <v>47</v>
      </c>
      <c r="F12" s="27">
        <v>2550000</v>
      </c>
      <c r="G12" s="27"/>
      <c r="H12" s="27">
        <v>1700903</v>
      </c>
      <c r="I12" s="31">
        <f t="shared" ref="I12:I31" si="2">J12-SUM(F12,G12,H12)</f>
        <v>11697583</v>
      </c>
      <c r="J12" s="27">
        <v>15948486</v>
      </c>
    </row>
    <row r="13" spans="1:11" ht="16.5" customHeight="1">
      <c r="A13" s="45"/>
      <c r="B13" s="21"/>
      <c r="C13" s="22"/>
      <c r="D13" s="25"/>
      <c r="E13" s="26" t="s">
        <v>48</v>
      </c>
      <c r="F13" s="27"/>
      <c r="G13" s="27"/>
      <c r="H13" s="27">
        <v>19175</v>
      </c>
      <c r="I13" s="31">
        <f t="shared" si="2"/>
        <v>172575</v>
      </c>
      <c r="J13" s="27">
        <v>191750</v>
      </c>
    </row>
    <row r="14" spans="1:11" ht="16.5" customHeight="1">
      <c r="A14" s="45"/>
      <c r="B14" s="21"/>
      <c r="C14" s="22"/>
      <c r="D14" s="25"/>
      <c r="E14" s="26" t="s">
        <v>49</v>
      </c>
      <c r="F14" s="27"/>
      <c r="G14" s="27"/>
      <c r="H14" s="27">
        <v>127532</v>
      </c>
      <c r="I14" s="31">
        <f t="shared" si="2"/>
        <v>12433507</v>
      </c>
      <c r="J14" s="27">
        <v>12561039</v>
      </c>
    </row>
    <row r="15" spans="1:11" ht="16.5" customHeight="1">
      <c r="A15" s="45"/>
      <c r="B15" s="21"/>
      <c r="C15" s="22"/>
      <c r="D15" s="25"/>
      <c r="E15" s="26" t="s">
        <v>50</v>
      </c>
      <c r="F15" s="27"/>
      <c r="G15" s="27"/>
      <c r="H15" s="27">
        <v>17324</v>
      </c>
      <c r="I15" s="31">
        <f t="shared" si="2"/>
        <v>7133930</v>
      </c>
      <c r="J15" s="27">
        <v>7151254</v>
      </c>
    </row>
    <row r="16" spans="1:11" ht="16.5" customHeight="1">
      <c r="A16" s="45"/>
      <c r="B16" s="21"/>
      <c r="C16" s="22"/>
      <c r="D16" s="25"/>
      <c r="E16" s="26" t="s">
        <v>51</v>
      </c>
      <c r="F16" s="27"/>
      <c r="G16" s="27"/>
      <c r="H16" s="27"/>
      <c r="I16" s="31">
        <f t="shared" si="2"/>
        <v>597392</v>
      </c>
      <c r="J16" s="27">
        <v>597392</v>
      </c>
    </row>
    <row r="17" spans="1:11" ht="16.5" customHeight="1">
      <c r="A17" s="45"/>
      <c r="B17" s="21"/>
      <c r="C17" s="22"/>
      <c r="D17" s="25"/>
      <c r="E17" s="26" t="s">
        <v>52</v>
      </c>
      <c r="F17" s="27"/>
      <c r="G17" s="27">
        <v>600000</v>
      </c>
      <c r="H17" s="27">
        <v>56750</v>
      </c>
      <c r="I17" s="31">
        <f t="shared" si="2"/>
        <v>1644</v>
      </c>
      <c r="J17" s="27">
        <v>658394</v>
      </c>
    </row>
    <row r="18" spans="1:11" ht="16.5" customHeight="1">
      <c r="A18" s="45"/>
      <c r="B18" s="21"/>
      <c r="C18" s="22"/>
      <c r="D18" s="25"/>
      <c r="E18" s="26" t="s">
        <v>53</v>
      </c>
      <c r="F18" s="27"/>
      <c r="G18" s="27"/>
      <c r="H18" s="27"/>
      <c r="I18" s="31">
        <f t="shared" si="2"/>
        <v>143220</v>
      </c>
      <c r="J18" s="27">
        <v>143220</v>
      </c>
    </row>
    <row r="19" spans="1:11" ht="16.5" customHeight="1">
      <c r="A19" s="45"/>
      <c r="B19" s="21"/>
      <c r="C19" s="22"/>
      <c r="D19" s="25"/>
      <c r="E19" s="26" t="s">
        <v>54</v>
      </c>
      <c r="F19" s="27"/>
      <c r="G19" s="27"/>
      <c r="H19" s="27"/>
      <c r="I19" s="31">
        <f t="shared" si="2"/>
        <v>430000</v>
      </c>
      <c r="J19" s="27">
        <v>430000</v>
      </c>
    </row>
    <row r="20" spans="1:11" ht="16.5" customHeight="1">
      <c r="A20" s="45"/>
      <c r="B20" s="21"/>
      <c r="C20" s="22"/>
      <c r="D20" s="25"/>
      <c r="E20" s="26" t="s">
        <v>55</v>
      </c>
      <c r="F20" s="27">
        <v>113286</v>
      </c>
      <c r="G20" s="27"/>
      <c r="H20" s="27"/>
      <c r="I20" s="31">
        <f t="shared" si="2"/>
        <v>336714</v>
      </c>
      <c r="J20" s="27">
        <v>450000</v>
      </c>
    </row>
    <row r="21" spans="1:11" ht="16.5" customHeight="1">
      <c r="A21" s="45"/>
      <c r="B21" s="21"/>
      <c r="C21" s="22"/>
      <c r="D21" s="25"/>
      <c r="E21" s="26" t="s">
        <v>56</v>
      </c>
      <c r="F21" s="27"/>
      <c r="G21" s="27"/>
      <c r="H21" s="27"/>
      <c r="I21" s="31">
        <f t="shared" si="2"/>
        <v>0</v>
      </c>
      <c r="J21" s="27">
        <v>0</v>
      </c>
    </row>
    <row r="22" spans="1:11" ht="16.5" customHeight="1">
      <c r="A22" s="45"/>
      <c r="B22" s="21"/>
      <c r="C22" s="22"/>
      <c r="D22" s="25"/>
      <c r="E22" s="26" t="s">
        <v>57</v>
      </c>
      <c r="F22" s="27"/>
      <c r="G22" s="27">
        <v>1300000</v>
      </c>
      <c r="H22" s="27"/>
      <c r="I22" s="31">
        <f t="shared" si="2"/>
        <v>86000</v>
      </c>
      <c r="J22" s="27">
        <v>1386000</v>
      </c>
    </row>
    <row r="23" spans="1:11" ht="16.5" customHeight="1">
      <c r="A23" s="45"/>
      <c r="B23" s="21"/>
      <c r="C23" s="22"/>
      <c r="D23" s="25"/>
      <c r="E23" s="29" t="s">
        <v>59</v>
      </c>
      <c r="F23" s="27"/>
      <c r="G23" s="27"/>
      <c r="H23" s="27"/>
      <c r="I23" s="31">
        <f t="shared" si="2"/>
        <v>1769426</v>
      </c>
      <c r="J23" s="27">
        <v>1769426</v>
      </c>
    </row>
    <row r="24" spans="1:11" ht="16.5" customHeight="1">
      <c r="A24" s="45"/>
      <c r="B24" s="56" t="s">
        <v>25</v>
      </c>
      <c r="C24" s="32" t="s">
        <v>70</v>
      </c>
      <c r="D24" s="33">
        <f>SUM(J24)</f>
        <v>98784623</v>
      </c>
      <c r="E24" s="55" t="s">
        <v>91</v>
      </c>
      <c r="F24" s="24">
        <f>SUM(F25:F28)</f>
        <v>31852038</v>
      </c>
      <c r="G24" s="24">
        <f t="shared" ref="G24:H24" si="3">SUM(G25:G28)</f>
        <v>0</v>
      </c>
      <c r="H24" s="24">
        <f t="shared" si="3"/>
        <v>26840140</v>
      </c>
      <c r="I24" s="24">
        <f>SUM(I25:I28)</f>
        <v>40092445</v>
      </c>
      <c r="J24" s="24">
        <f>SUM(J25:J28)</f>
        <v>98784623</v>
      </c>
      <c r="K24" s="58"/>
    </row>
    <row r="25" spans="1:11" ht="16.5" customHeight="1">
      <c r="A25" s="45"/>
      <c r="B25" s="21"/>
      <c r="C25" s="22"/>
      <c r="D25" s="25"/>
      <c r="E25" s="28" t="s">
        <v>60</v>
      </c>
      <c r="F25" s="27">
        <v>22478444</v>
      </c>
      <c r="G25" s="27"/>
      <c r="H25" s="27"/>
      <c r="I25" s="31">
        <f t="shared" si="2"/>
        <v>4143213</v>
      </c>
      <c r="J25" s="27">
        <v>26621657</v>
      </c>
    </row>
    <row r="26" spans="1:11" ht="16.5" customHeight="1">
      <c r="A26" s="45"/>
      <c r="B26" s="21"/>
      <c r="C26" s="22"/>
      <c r="D26" s="25"/>
      <c r="E26" s="28" t="s">
        <v>112</v>
      </c>
      <c r="F26" s="27"/>
      <c r="G26" s="27"/>
      <c r="H26" s="27"/>
      <c r="I26" s="31">
        <f t="shared" ref="I26" si="4">J26-SUM(F26,G26,H26)</f>
        <v>4122326</v>
      </c>
      <c r="J26" s="27">
        <v>4122326</v>
      </c>
    </row>
    <row r="27" spans="1:11" ht="16.5" customHeight="1">
      <c r="A27" s="45"/>
      <c r="B27" s="21"/>
      <c r="C27" s="22"/>
      <c r="D27" s="25"/>
      <c r="E27" s="28" t="s">
        <v>61</v>
      </c>
      <c r="F27" s="27">
        <v>9373594</v>
      </c>
      <c r="G27" s="27"/>
      <c r="H27" s="27">
        <v>26840140</v>
      </c>
      <c r="I27" s="31">
        <f t="shared" si="2"/>
        <v>31705837</v>
      </c>
      <c r="J27" s="27">
        <v>67919571</v>
      </c>
    </row>
    <row r="28" spans="1:11" ht="16.5" customHeight="1">
      <c r="A28" s="48"/>
      <c r="B28" s="34"/>
      <c r="C28" s="35"/>
      <c r="D28" s="36"/>
      <c r="E28" s="28" t="s">
        <v>62</v>
      </c>
      <c r="F28" s="27"/>
      <c r="G28" s="27"/>
      <c r="H28" s="27"/>
      <c r="I28" s="24">
        <f t="shared" si="2"/>
        <v>121069</v>
      </c>
      <c r="J28" s="27">
        <v>121069</v>
      </c>
    </row>
    <row r="29" spans="1:11" ht="16.5" customHeight="1">
      <c r="A29" s="45" t="s">
        <v>89</v>
      </c>
      <c r="B29" s="49"/>
      <c r="C29" s="50"/>
      <c r="D29" s="44">
        <f>SUM(D30,D32,D34)</f>
        <v>143428613</v>
      </c>
      <c r="E29" s="43" t="s">
        <v>90</v>
      </c>
      <c r="F29" s="44">
        <f t="shared" ref="F29:J29" si="5">SUM(F30,F32,F34)</f>
        <v>29319325</v>
      </c>
      <c r="G29" s="44">
        <f t="shared" si="5"/>
        <v>0</v>
      </c>
      <c r="H29" s="44">
        <f t="shared" si="5"/>
        <v>0</v>
      </c>
      <c r="I29" s="44">
        <f t="shared" si="5"/>
        <v>114109288</v>
      </c>
      <c r="J29" s="44">
        <f t="shared" si="5"/>
        <v>143428613</v>
      </c>
      <c r="K29" s="58"/>
    </row>
    <row r="30" spans="1:11" ht="16.5" customHeight="1">
      <c r="A30" s="45"/>
      <c r="B30" s="56" t="s">
        <v>19</v>
      </c>
      <c r="C30" s="37" t="s">
        <v>31</v>
      </c>
      <c r="D30" s="31">
        <f>SUM(J30)</f>
        <v>28547194</v>
      </c>
      <c r="E30" s="55" t="s">
        <v>91</v>
      </c>
      <c r="F30" s="24">
        <f>SUM(F31)</f>
        <v>14926735</v>
      </c>
      <c r="G30" s="24">
        <f t="shared" ref="G30:J30" si="6">SUM(G31)</f>
        <v>0</v>
      </c>
      <c r="H30" s="24">
        <f t="shared" si="6"/>
        <v>0</v>
      </c>
      <c r="I30" s="24">
        <f t="shared" si="6"/>
        <v>13620459</v>
      </c>
      <c r="J30" s="24">
        <f t="shared" si="6"/>
        <v>28547194</v>
      </c>
      <c r="K30" s="58"/>
    </row>
    <row r="31" spans="1:11" ht="16.5" customHeight="1">
      <c r="A31" s="45"/>
      <c r="B31" s="34"/>
      <c r="C31" s="38"/>
      <c r="D31" s="39"/>
      <c r="E31" s="26" t="s">
        <v>63</v>
      </c>
      <c r="F31" s="27">
        <v>14926735</v>
      </c>
      <c r="G31" s="27"/>
      <c r="H31" s="27"/>
      <c r="I31" s="31">
        <f t="shared" si="2"/>
        <v>13620459</v>
      </c>
      <c r="J31" s="27">
        <v>28547194</v>
      </c>
    </row>
    <row r="32" spans="1:11" ht="16.5" customHeight="1">
      <c r="A32" s="45"/>
      <c r="B32" s="56" t="s">
        <v>20</v>
      </c>
      <c r="C32" s="32" t="s">
        <v>32</v>
      </c>
      <c r="D32" s="31">
        <f>SUM(J32)</f>
        <v>58735442</v>
      </c>
      <c r="E32" s="55" t="s">
        <v>91</v>
      </c>
      <c r="F32" s="24">
        <f>SUM(F33)</f>
        <v>4499475</v>
      </c>
      <c r="G32" s="24">
        <f>SUM(G33)</f>
        <v>0</v>
      </c>
      <c r="H32" s="24">
        <f t="shared" ref="H32:J32" si="7">SUM(H33)</f>
        <v>0</v>
      </c>
      <c r="I32" s="24">
        <f t="shared" si="7"/>
        <v>54235967</v>
      </c>
      <c r="J32" s="24">
        <f t="shared" si="7"/>
        <v>58735442</v>
      </c>
      <c r="K32" s="58"/>
    </row>
    <row r="33" spans="1:11" ht="16.5" customHeight="1">
      <c r="A33" s="45"/>
      <c r="B33" s="34"/>
      <c r="C33" s="35"/>
      <c r="D33" s="36"/>
      <c r="E33" s="26" t="s">
        <v>64</v>
      </c>
      <c r="F33" s="27">
        <v>4499475</v>
      </c>
      <c r="G33" s="27"/>
      <c r="H33" s="27"/>
      <c r="I33" s="31">
        <f t="shared" ref="I33" si="8">J33-SUM(F33,G33,H33)</f>
        <v>54235967</v>
      </c>
      <c r="J33" s="27">
        <v>58735442</v>
      </c>
    </row>
    <row r="34" spans="1:11" ht="16.5" customHeight="1">
      <c r="A34" s="45"/>
      <c r="B34" s="57" t="s">
        <v>21</v>
      </c>
      <c r="C34" s="22" t="s">
        <v>33</v>
      </c>
      <c r="D34" s="23">
        <f>SUM(J34)</f>
        <v>56145977</v>
      </c>
      <c r="E34" s="55" t="s">
        <v>91</v>
      </c>
      <c r="F34" s="24">
        <f>SUM(F35:F36)</f>
        <v>9893115</v>
      </c>
      <c r="G34" s="24">
        <f t="shared" ref="G34:J34" si="9">SUM(G35:G36)</f>
        <v>0</v>
      </c>
      <c r="H34" s="24">
        <f t="shared" si="9"/>
        <v>0</v>
      </c>
      <c r="I34" s="24">
        <f t="shared" si="9"/>
        <v>46252862</v>
      </c>
      <c r="J34" s="24">
        <f t="shared" si="9"/>
        <v>56145977</v>
      </c>
      <c r="K34" s="58"/>
    </row>
    <row r="35" spans="1:11" ht="16.5" customHeight="1">
      <c r="A35" s="45"/>
      <c r="B35" s="21"/>
      <c r="C35" s="22" t="s">
        <v>67</v>
      </c>
      <c r="D35" s="25"/>
      <c r="E35" s="26" t="s">
        <v>65</v>
      </c>
      <c r="F35" s="27"/>
      <c r="G35" s="27"/>
      <c r="H35" s="27"/>
      <c r="I35" s="31">
        <f t="shared" ref="I35:I49" si="10">J35-SUM(F35,G35,H35)</f>
        <v>40264157</v>
      </c>
      <c r="J35" s="27">
        <v>40264157</v>
      </c>
    </row>
    <row r="36" spans="1:11" ht="16.5" customHeight="1">
      <c r="A36" s="48"/>
      <c r="B36" s="34"/>
      <c r="C36" s="35"/>
      <c r="D36" s="36"/>
      <c r="E36" s="26" t="s">
        <v>66</v>
      </c>
      <c r="F36" s="27">
        <v>9893115</v>
      </c>
      <c r="G36" s="27"/>
      <c r="H36" s="27"/>
      <c r="I36" s="24">
        <f t="shared" si="10"/>
        <v>5988705</v>
      </c>
      <c r="J36" s="27">
        <v>15881820</v>
      </c>
    </row>
    <row r="37" spans="1:11" ht="16.5" customHeight="1">
      <c r="A37" s="45" t="s">
        <v>18</v>
      </c>
      <c r="B37" s="51"/>
      <c r="C37" s="50"/>
      <c r="D37" s="44">
        <f>SUM(D38,D42,D45)</f>
        <v>21404706</v>
      </c>
      <c r="E37" s="43" t="s">
        <v>90</v>
      </c>
      <c r="F37" s="44">
        <f t="shared" ref="F37:J37" si="11">SUM(F38,F42,F45)</f>
        <v>2057000</v>
      </c>
      <c r="G37" s="44">
        <f t="shared" si="11"/>
        <v>4200000</v>
      </c>
      <c r="H37" s="44">
        <f t="shared" si="11"/>
        <v>2705445</v>
      </c>
      <c r="I37" s="44">
        <f t="shared" si="11"/>
        <v>12442261</v>
      </c>
      <c r="J37" s="44">
        <f t="shared" si="11"/>
        <v>21404706</v>
      </c>
      <c r="K37" s="58"/>
    </row>
    <row r="38" spans="1:11" ht="16.5" customHeight="1">
      <c r="A38" s="54"/>
      <c r="B38" s="56" t="s">
        <v>34</v>
      </c>
      <c r="C38" s="32" t="s">
        <v>37</v>
      </c>
      <c r="D38" s="33">
        <f>SUM(J38)</f>
        <v>7192709</v>
      </c>
      <c r="E38" s="55" t="s">
        <v>91</v>
      </c>
      <c r="F38" s="24">
        <f>SUM(F39:F41)</f>
        <v>1367000</v>
      </c>
      <c r="G38" s="24">
        <f t="shared" ref="G38:J38" si="12">SUM(G39:G41)</f>
        <v>4200000</v>
      </c>
      <c r="H38" s="24">
        <f t="shared" si="12"/>
        <v>0</v>
      </c>
      <c r="I38" s="24">
        <f t="shared" si="12"/>
        <v>1625709</v>
      </c>
      <c r="J38" s="24">
        <f t="shared" si="12"/>
        <v>7192709</v>
      </c>
      <c r="K38" s="58"/>
    </row>
    <row r="39" spans="1:11" ht="16.5" customHeight="1">
      <c r="A39" s="45"/>
      <c r="B39" s="40"/>
      <c r="C39" s="22" t="s">
        <v>110</v>
      </c>
      <c r="D39" s="25"/>
      <c r="E39" s="28" t="s">
        <v>78</v>
      </c>
      <c r="F39" s="27">
        <v>337000</v>
      </c>
      <c r="G39" s="27"/>
      <c r="H39" s="27"/>
      <c r="I39" s="31">
        <f t="shared" si="10"/>
        <v>420516</v>
      </c>
      <c r="J39" s="27">
        <v>757516</v>
      </c>
    </row>
    <row r="40" spans="1:11" ht="16.5" customHeight="1">
      <c r="A40" s="45"/>
      <c r="B40" s="40"/>
      <c r="C40" s="22" t="s">
        <v>73</v>
      </c>
      <c r="D40" s="25"/>
      <c r="E40" s="28" t="s">
        <v>109</v>
      </c>
      <c r="F40" s="27">
        <v>1030000</v>
      </c>
      <c r="G40" s="27">
        <v>4200000</v>
      </c>
      <c r="H40" s="27"/>
      <c r="I40" s="31">
        <f t="shared" si="10"/>
        <v>1205193</v>
      </c>
      <c r="J40" s="27">
        <v>6435193</v>
      </c>
    </row>
    <row r="41" spans="1:11" ht="16.5" customHeight="1">
      <c r="A41" s="45"/>
      <c r="B41" s="21"/>
      <c r="C41" s="22"/>
      <c r="D41" s="25"/>
      <c r="E41" s="28" t="s">
        <v>80</v>
      </c>
      <c r="F41" s="27">
        <v>0</v>
      </c>
      <c r="G41" s="27"/>
      <c r="H41" s="27"/>
      <c r="I41" s="31">
        <f t="shared" si="10"/>
        <v>0</v>
      </c>
      <c r="J41" s="27">
        <v>0</v>
      </c>
    </row>
    <row r="42" spans="1:11" ht="16.5" customHeight="1">
      <c r="A42" s="45"/>
      <c r="B42" s="56" t="s">
        <v>26</v>
      </c>
      <c r="C42" s="32" t="s">
        <v>35</v>
      </c>
      <c r="D42" s="33">
        <f>SUM(J42)</f>
        <v>5792973</v>
      </c>
      <c r="E42" s="55" t="s">
        <v>91</v>
      </c>
      <c r="F42" s="24">
        <f>SUM(F43:F44)</f>
        <v>95000</v>
      </c>
      <c r="G42" s="24">
        <f t="shared" ref="G42:J42" si="13">SUM(G43:G44)</f>
        <v>0</v>
      </c>
      <c r="H42" s="24">
        <f t="shared" si="13"/>
        <v>12411</v>
      </c>
      <c r="I42" s="24">
        <f t="shared" si="13"/>
        <v>5685562</v>
      </c>
      <c r="J42" s="24">
        <f t="shared" si="13"/>
        <v>5792973</v>
      </c>
      <c r="K42" s="58"/>
    </row>
    <row r="43" spans="1:11" ht="16.5" customHeight="1">
      <c r="A43" s="45"/>
      <c r="B43" s="21"/>
      <c r="C43" s="22" t="s">
        <v>74</v>
      </c>
      <c r="D43" s="25"/>
      <c r="E43" s="28" t="s">
        <v>81</v>
      </c>
      <c r="F43" s="27"/>
      <c r="G43" s="27"/>
      <c r="H43" s="27">
        <v>12411</v>
      </c>
      <c r="I43" s="31">
        <f t="shared" si="10"/>
        <v>155773</v>
      </c>
      <c r="J43" s="27">
        <v>168184</v>
      </c>
    </row>
    <row r="44" spans="1:11" ht="16.5" customHeight="1">
      <c r="A44" s="45"/>
      <c r="B44" s="34"/>
      <c r="C44" s="35"/>
      <c r="D44" s="36"/>
      <c r="E44" s="28" t="s">
        <v>82</v>
      </c>
      <c r="F44" s="27">
        <v>95000</v>
      </c>
      <c r="G44" s="27"/>
      <c r="H44" s="27"/>
      <c r="I44" s="31">
        <f t="shared" si="10"/>
        <v>5529789</v>
      </c>
      <c r="J44" s="27">
        <v>5624789</v>
      </c>
    </row>
    <row r="45" spans="1:11" ht="16.5" customHeight="1">
      <c r="A45" s="45"/>
      <c r="B45" s="57" t="s">
        <v>27</v>
      </c>
      <c r="C45" s="22" t="s">
        <v>36</v>
      </c>
      <c r="D45" s="23">
        <f>SUM(J45)</f>
        <v>8419024</v>
      </c>
      <c r="E45" s="55" t="s">
        <v>91</v>
      </c>
      <c r="F45" s="24">
        <f>SUM(F46:F49)</f>
        <v>595000</v>
      </c>
      <c r="G45" s="24">
        <f t="shared" ref="G45:J45" si="14">SUM(G46:G49)</f>
        <v>0</v>
      </c>
      <c r="H45" s="24">
        <f t="shared" si="14"/>
        <v>2693034</v>
      </c>
      <c r="I45" s="24">
        <f t="shared" si="14"/>
        <v>5130990</v>
      </c>
      <c r="J45" s="24">
        <f t="shared" si="14"/>
        <v>8419024</v>
      </c>
      <c r="K45" s="58"/>
    </row>
    <row r="46" spans="1:11" ht="16.5" customHeight="1">
      <c r="A46" s="45"/>
      <c r="B46" s="21"/>
      <c r="C46" s="22" t="s">
        <v>75</v>
      </c>
      <c r="D46" s="25"/>
      <c r="E46" s="28" t="s">
        <v>83</v>
      </c>
      <c r="F46" s="27">
        <v>7000</v>
      </c>
      <c r="G46" s="27"/>
      <c r="H46" s="27">
        <v>390500</v>
      </c>
      <c r="I46" s="31">
        <f t="shared" si="10"/>
        <v>1525200</v>
      </c>
      <c r="J46" s="27">
        <v>1922700</v>
      </c>
    </row>
    <row r="47" spans="1:11" ht="16.5" customHeight="1">
      <c r="A47" s="45"/>
      <c r="B47" s="21"/>
      <c r="C47" s="22" t="s">
        <v>76</v>
      </c>
      <c r="D47" s="25"/>
      <c r="E47" s="28" t="s">
        <v>84</v>
      </c>
      <c r="F47" s="27">
        <v>69000</v>
      </c>
      <c r="G47" s="27"/>
      <c r="H47" s="27"/>
      <c r="I47" s="31">
        <f t="shared" si="10"/>
        <v>2726270</v>
      </c>
      <c r="J47" s="27">
        <v>2795270</v>
      </c>
    </row>
    <row r="48" spans="1:11" ht="16.5" customHeight="1">
      <c r="A48" s="45"/>
      <c r="B48" s="21"/>
      <c r="C48" s="22" t="s">
        <v>77</v>
      </c>
      <c r="D48" s="25"/>
      <c r="E48" s="28" t="s">
        <v>85</v>
      </c>
      <c r="F48" s="27">
        <v>519000</v>
      </c>
      <c r="G48" s="27"/>
      <c r="H48" s="27">
        <v>2302534</v>
      </c>
      <c r="I48" s="31">
        <f t="shared" si="10"/>
        <v>164128</v>
      </c>
      <c r="J48" s="27">
        <v>2985662</v>
      </c>
    </row>
    <row r="49" spans="1:11" ht="16.5" customHeight="1">
      <c r="A49" s="48"/>
      <c r="B49" s="34"/>
      <c r="C49" s="35"/>
      <c r="D49" s="36"/>
      <c r="E49" s="28" t="s">
        <v>86</v>
      </c>
      <c r="F49" s="27"/>
      <c r="G49" s="27"/>
      <c r="H49" s="27"/>
      <c r="I49" s="24">
        <f t="shared" si="10"/>
        <v>715392</v>
      </c>
      <c r="J49" s="27">
        <v>715392</v>
      </c>
    </row>
    <row r="50" spans="1:11" ht="16.5" customHeight="1">
      <c r="A50" s="164" t="s">
        <v>92</v>
      </c>
      <c r="B50" s="164"/>
      <c r="C50" s="164"/>
      <c r="D50" s="52">
        <f>SUM(D4,D29,D37)</f>
        <v>499396318</v>
      </c>
      <c r="E50" s="53"/>
      <c r="F50" s="52">
        <f>SUM(F4,F29,F37)</f>
        <v>205249040</v>
      </c>
      <c r="G50" s="52">
        <f>SUM(G4,G29,G37)</f>
        <v>6100000</v>
      </c>
      <c r="H50" s="52">
        <f>SUM(H4,H29,H37)</f>
        <v>32444664</v>
      </c>
      <c r="I50" s="52">
        <f>SUM(I4,I29,I37)</f>
        <v>255602614</v>
      </c>
      <c r="J50" s="52">
        <f>SUM(J4,J29,J37)</f>
        <v>499396318</v>
      </c>
      <c r="K50" s="58"/>
    </row>
  </sheetData>
  <mergeCells count="1">
    <mergeCell ref="A50:C50"/>
  </mergeCells>
  <phoneticPr fontId="2"/>
  <pageMargins left="0.7" right="0.7" top="0.75" bottom="0.75" header="0.3" footer="0.3"/>
  <pageSetup paperSize="9" scale="63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7"/>
  <sheetViews>
    <sheetView showGridLines="0" view="pageBreakPreview" topLeftCell="B1" zoomScale="60" zoomScaleNormal="70" workbookViewId="0">
      <selection activeCell="C20" sqref="C20:D20"/>
    </sheetView>
  </sheetViews>
  <sheetFormatPr defaultRowHeight="29.25" customHeight="1"/>
  <cols>
    <col min="1" max="1" width="9.625" style="11" customWidth="1"/>
    <col min="2" max="8" width="19.25" style="1" customWidth="1"/>
    <col min="9" max="9" width="26.625" style="1" customWidth="1"/>
    <col min="10" max="10" width="19.25" style="1" customWidth="1"/>
    <col min="11" max="12" width="5.25" style="1" customWidth="1"/>
    <col min="13" max="15" width="15.75" style="1" customWidth="1"/>
    <col min="16" max="16" width="21.5" style="1" customWidth="1"/>
    <col min="17" max="16384" width="9" style="1"/>
  </cols>
  <sheetData>
    <row r="1" spans="1:16" ht="23.25" customHeight="1">
      <c r="B1" s="162" t="s">
        <v>103</v>
      </c>
      <c r="C1" s="162"/>
      <c r="D1" s="162"/>
      <c r="E1" s="162"/>
      <c r="F1" s="162"/>
      <c r="G1" s="162"/>
      <c r="H1" s="162"/>
      <c r="I1" s="162"/>
      <c r="J1" s="162"/>
    </row>
    <row r="2" spans="1:16" ht="23.25" customHeight="1">
      <c r="A2" s="12"/>
      <c r="B2" s="162"/>
      <c r="C2" s="162"/>
      <c r="D2" s="162"/>
      <c r="E2" s="162"/>
      <c r="F2" s="162"/>
      <c r="G2" s="162"/>
      <c r="H2" s="162"/>
      <c r="I2" s="162"/>
      <c r="J2" s="162"/>
    </row>
    <row r="3" spans="1:16" ht="23.25" customHeight="1"/>
    <row r="4" spans="1:16" s="7" customFormat="1" ht="23.25" customHeight="1">
      <c r="A4" s="11"/>
      <c r="B4" s="5" t="s">
        <v>0</v>
      </c>
      <c r="C4" s="6" t="s">
        <v>1</v>
      </c>
      <c r="D4" s="6"/>
      <c r="E4" s="6"/>
      <c r="F4" s="6"/>
      <c r="I4" s="4">
        <v>35626</v>
      </c>
    </row>
    <row r="5" spans="1:16" ht="23.25" customHeight="1">
      <c r="B5" s="2"/>
      <c r="C5" s="3"/>
      <c r="D5" s="3"/>
      <c r="E5" s="3"/>
      <c r="F5" s="3"/>
    </row>
    <row r="6" spans="1:16" s="7" customFormat="1" ht="23.25" customHeight="1">
      <c r="A6" s="11"/>
      <c r="B6" s="5" t="s">
        <v>2</v>
      </c>
      <c r="C6" s="6" t="s">
        <v>3</v>
      </c>
      <c r="D6" s="6"/>
      <c r="E6" s="6"/>
      <c r="F6" s="6"/>
      <c r="I6" s="4">
        <v>475421</v>
      </c>
    </row>
    <row r="7" spans="1:16" ht="23.25" customHeight="1"/>
    <row r="8" spans="1:16" ht="29.25" customHeight="1">
      <c r="B8" s="7" t="s">
        <v>4</v>
      </c>
      <c r="J8" s="8" t="s">
        <v>14</v>
      </c>
    </row>
    <row r="9" spans="1:16" s="7" customFormat="1" ht="29.25" customHeight="1">
      <c r="A9" s="11"/>
      <c r="B9" s="160" t="s">
        <v>5</v>
      </c>
      <c r="C9" s="160" t="s">
        <v>6</v>
      </c>
      <c r="D9" s="160"/>
      <c r="E9" s="163" t="s">
        <v>104</v>
      </c>
      <c r="F9" s="160" t="s">
        <v>13</v>
      </c>
      <c r="G9" s="160"/>
      <c r="H9" s="160"/>
      <c r="I9" s="160"/>
      <c r="J9" s="160"/>
    </row>
    <row r="10" spans="1:16" s="7" customFormat="1" ht="29.25" customHeight="1">
      <c r="A10" s="11"/>
      <c r="B10" s="160"/>
      <c r="C10" s="160"/>
      <c r="D10" s="160"/>
      <c r="E10" s="160"/>
      <c r="F10" s="160" t="s">
        <v>10</v>
      </c>
      <c r="G10" s="160"/>
      <c r="H10" s="160"/>
      <c r="I10" s="160" t="s">
        <v>11</v>
      </c>
      <c r="J10" s="160"/>
    </row>
    <row r="11" spans="1:16" s="7" customFormat="1" ht="41.25" customHeight="1">
      <c r="A11" s="11"/>
      <c r="B11" s="160"/>
      <c r="C11" s="160"/>
      <c r="D11" s="160"/>
      <c r="E11" s="160"/>
      <c r="F11" s="66" t="s">
        <v>7</v>
      </c>
      <c r="G11" s="66" t="s">
        <v>8</v>
      </c>
      <c r="H11" s="66" t="s">
        <v>9</v>
      </c>
      <c r="I11" s="61" t="s">
        <v>12</v>
      </c>
      <c r="J11" s="66" t="s">
        <v>9</v>
      </c>
      <c r="M11" s="10" t="s">
        <v>29</v>
      </c>
      <c r="N11" s="10" t="s">
        <v>29</v>
      </c>
    </row>
    <row r="12" spans="1:16" s="7" customFormat="1" ht="29.25" customHeight="1">
      <c r="A12" s="11"/>
      <c r="B12" s="160" t="s">
        <v>16</v>
      </c>
      <c r="C12" s="161" t="s">
        <v>28</v>
      </c>
      <c r="D12" s="161"/>
      <c r="E12" s="59">
        <v>184503</v>
      </c>
      <c r="F12" s="59">
        <v>126850</v>
      </c>
      <c r="G12" s="59">
        <v>0</v>
      </c>
      <c r="H12" s="59">
        <v>350</v>
      </c>
      <c r="I12" s="60">
        <f>ROUND(I24/M24*M12,0)</f>
        <v>7745</v>
      </c>
      <c r="J12" s="59">
        <f>E12-(F12+G12+H12+I12)</f>
        <v>49558</v>
      </c>
      <c r="M12" s="9">
        <f>E12-(SUM(F12,G12,H12))</f>
        <v>57303</v>
      </c>
      <c r="N12" s="9">
        <f>I12+J12</f>
        <v>57303</v>
      </c>
      <c r="O12" s="9">
        <f>M12-N12</f>
        <v>0</v>
      </c>
      <c r="P12" s="7">
        <f>M12/M24*I24</f>
        <v>7744.9824080853759</v>
      </c>
    </row>
    <row r="13" spans="1:16" s="7" customFormat="1" ht="29.25" customHeight="1">
      <c r="A13" s="11"/>
      <c r="B13" s="160"/>
      <c r="C13" s="161" t="s">
        <v>24</v>
      </c>
      <c r="D13" s="161"/>
      <c r="E13" s="59">
        <v>39379</v>
      </c>
      <c r="F13" s="59">
        <v>2636</v>
      </c>
      <c r="G13" s="59">
        <v>2100</v>
      </c>
      <c r="H13" s="59">
        <v>1819</v>
      </c>
      <c r="I13" s="60">
        <f>ROUND(I24/M24*M13,0)</f>
        <v>4436</v>
      </c>
      <c r="J13" s="59">
        <f>E13-(F13+G13+H13+I13)</f>
        <v>28388</v>
      </c>
      <c r="M13" s="9">
        <f t="shared" ref="M13:M23" si="0">E13-(SUM(F13,G13,H13))</f>
        <v>32824</v>
      </c>
      <c r="N13" s="9">
        <f t="shared" ref="N13:N23" si="1">I13+J13</f>
        <v>32824</v>
      </c>
      <c r="O13" s="9">
        <f t="shared" ref="O13:O24" si="2">M13-N13</f>
        <v>0</v>
      </c>
      <c r="P13" s="7">
        <f>M13/M24*I24</f>
        <v>4436.4396726697451</v>
      </c>
    </row>
    <row r="14" spans="1:16" s="7" customFormat="1" ht="29.25" customHeight="1">
      <c r="A14" s="11"/>
      <c r="B14" s="160"/>
      <c r="C14" s="161" t="s">
        <v>25</v>
      </c>
      <c r="D14" s="161"/>
      <c r="E14" s="59">
        <v>83707</v>
      </c>
      <c r="F14" s="59">
        <v>31386</v>
      </c>
      <c r="G14" s="59">
        <v>0</v>
      </c>
      <c r="H14" s="59">
        <v>11467</v>
      </c>
      <c r="I14" s="60">
        <f>ROUND(I24/M24*M14,0)</f>
        <v>5522</v>
      </c>
      <c r="J14" s="59">
        <f t="shared" ref="J14" si="3">E14-(F14+G14+H14+I14)</f>
        <v>35332</v>
      </c>
      <c r="M14" s="9">
        <f t="shared" si="0"/>
        <v>40854</v>
      </c>
      <c r="N14" s="9">
        <f t="shared" si="1"/>
        <v>40854</v>
      </c>
      <c r="O14" s="9">
        <f t="shared" si="2"/>
        <v>0</v>
      </c>
      <c r="P14" s="7">
        <f>M14/M24*I24</f>
        <v>5521.7617105547697</v>
      </c>
    </row>
    <row r="15" spans="1:16" s="7" customFormat="1" ht="29.25" customHeight="1">
      <c r="A15" s="11"/>
      <c r="B15" s="160"/>
      <c r="C15" s="160" t="s">
        <v>105</v>
      </c>
      <c r="D15" s="160"/>
      <c r="E15" s="59">
        <f t="shared" ref="E15:I15" si="4">SUM(E12:E14)</f>
        <v>307589</v>
      </c>
      <c r="F15" s="59">
        <f t="shared" si="4"/>
        <v>160872</v>
      </c>
      <c r="G15" s="59">
        <f t="shared" si="4"/>
        <v>2100</v>
      </c>
      <c r="H15" s="59">
        <f t="shared" si="4"/>
        <v>13636</v>
      </c>
      <c r="I15" s="60">
        <f t="shared" si="4"/>
        <v>17703</v>
      </c>
      <c r="J15" s="59">
        <f>SUM(J12:J14)</f>
        <v>113278</v>
      </c>
      <c r="M15" s="9">
        <f t="shared" si="0"/>
        <v>130981</v>
      </c>
      <c r="N15" s="9">
        <f t="shared" si="1"/>
        <v>130981</v>
      </c>
      <c r="O15" s="9">
        <f t="shared" si="2"/>
        <v>0</v>
      </c>
      <c r="P15" s="7">
        <f>M15/M24*I24</f>
        <v>17703.18379130989</v>
      </c>
    </row>
    <row r="16" spans="1:16" s="7" customFormat="1" ht="29.25" customHeight="1">
      <c r="A16" s="11"/>
      <c r="B16" s="160" t="s">
        <v>17</v>
      </c>
      <c r="C16" s="161" t="s">
        <v>19</v>
      </c>
      <c r="D16" s="161"/>
      <c r="E16" s="59">
        <v>27679</v>
      </c>
      <c r="F16" s="59">
        <v>15628</v>
      </c>
      <c r="G16" s="59">
        <v>0</v>
      </c>
      <c r="H16" s="59">
        <v>0</v>
      </c>
      <c r="I16" s="60">
        <f>ROUND(I24/M24*M16,0)</f>
        <v>1629</v>
      </c>
      <c r="J16" s="59">
        <f>E16-(F16+G16+H16+I16)</f>
        <v>10422</v>
      </c>
      <c r="M16" s="9">
        <f t="shared" si="0"/>
        <v>12051</v>
      </c>
      <c r="N16" s="9">
        <f t="shared" si="1"/>
        <v>12051</v>
      </c>
      <c r="O16" s="9">
        <f t="shared" si="2"/>
        <v>0</v>
      </c>
      <c r="P16" s="7">
        <f>M16/M24*I24</f>
        <v>1628.7940072917102</v>
      </c>
    </row>
    <row r="17" spans="1:16" s="7" customFormat="1" ht="29.25" customHeight="1">
      <c r="A17" s="11"/>
      <c r="B17" s="160"/>
      <c r="C17" s="161" t="s">
        <v>20</v>
      </c>
      <c r="D17" s="161"/>
      <c r="E17" s="59">
        <v>56735</v>
      </c>
      <c r="F17" s="59">
        <v>3585</v>
      </c>
      <c r="G17" s="59">
        <v>0</v>
      </c>
      <c r="H17" s="59">
        <v>0</v>
      </c>
      <c r="I17" s="60">
        <f>ROUND(I24/M24*M17,0)</f>
        <v>7184</v>
      </c>
      <c r="J17" s="59">
        <f t="shared" ref="J17:J18" si="5">E17-(F17+G17+H17+I17)</f>
        <v>45966</v>
      </c>
      <c r="M17" s="9">
        <f t="shared" si="0"/>
        <v>53150</v>
      </c>
      <c r="N17" s="9">
        <f t="shared" si="1"/>
        <v>53150</v>
      </c>
      <c r="O17" s="9">
        <f t="shared" si="2"/>
        <v>0</v>
      </c>
      <c r="P17" s="7">
        <f>M17/M24*I24</f>
        <v>7183.6695284668822</v>
      </c>
    </row>
    <row r="18" spans="1:16" s="7" customFormat="1" ht="29.25" customHeight="1">
      <c r="A18" s="11"/>
      <c r="B18" s="160"/>
      <c r="C18" s="161" t="s">
        <v>21</v>
      </c>
      <c r="D18" s="161"/>
      <c r="E18" s="59">
        <v>65243</v>
      </c>
      <c r="F18" s="59">
        <v>9501</v>
      </c>
      <c r="G18" s="59">
        <v>0</v>
      </c>
      <c r="H18" s="59">
        <v>0</v>
      </c>
      <c r="I18" s="60">
        <f>ROUND(I24/M24*M18,0)</f>
        <v>7534</v>
      </c>
      <c r="J18" s="59">
        <f t="shared" si="5"/>
        <v>48208</v>
      </c>
      <c r="M18" s="9">
        <f t="shared" si="0"/>
        <v>55742</v>
      </c>
      <c r="N18" s="9">
        <f>I18+J18</f>
        <v>55742</v>
      </c>
      <c r="O18" s="9">
        <f t="shared" si="2"/>
        <v>0</v>
      </c>
      <c r="P18" s="7">
        <f>M18/M24*I24</f>
        <v>7534.0001289896691</v>
      </c>
    </row>
    <row r="19" spans="1:16" s="7" customFormat="1" ht="29.25" customHeight="1">
      <c r="A19" s="11"/>
      <c r="B19" s="160"/>
      <c r="C19" s="160" t="s">
        <v>105</v>
      </c>
      <c r="D19" s="160"/>
      <c r="E19" s="59">
        <f>SUM(E16:E18)</f>
        <v>149657</v>
      </c>
      <c r="F19" s="59">
        <f t="shared" ref="F19:H19" si="6">SUM(F16:F18)</f>
        <v>28714</v>
      </c>
      <c r="G19" s="59">
        <f t="shared" si="6"/>
        <v>0</v>
      </c>
      <c r="H19" s="59">
        <f t="shared" si="6"/>
        <v>0</v>
      </c>
      <c r="I19" s="60">
        <f>SUM(I16:I18)</f>
        <v>16347</v>
      </c>
      <c r="J19" s="59">
        <f>SUM(J16:J18)</f>
        <v>104596</v>
      </c>
      <c r="M19" s="9">
        <f t="shared" si="0"/>
        <v>120943</v>
      </c>
      <c r="N19" s="9">
        <f t="shared" si="1"/>
        <v>120943</v>
      </c>
      <c r="O19" s="9">
        <f t="shared" si="2"/>
        <v>0</v>
      </c>
      <c r="P19" s="7">
        <f>M19/M24*I24</f>
        <v>16346.46366474826</v>
      </c>
    </row>
    <row r="20" spans="1:16" s="7" customFormat="1" ht="29.25" customHeight="1">
      <c r="A20" s="11"/>
      <c r="B20" s="160" t="s">
        <v>18</v>
      </c>
      <c r="C20" s="161" t="s">
        <v>23</v>
      </c>
      <c r="D20" s="161"/>
      <c r="E20" s="59">
        <v>5646</v>
      </c>
      <c r="F20" s="59">
        <v>1095</v>
      </c>
      <c r="G20" s="59">
        <v>3200</v>
      </c>
      <c r="H20" s="59">
        <v>23</v>
      </c>
      <c r="I20" s="60">
        <f>ROUND(I24/M24*M20,0)</f>
        <v>179</v>
      </c>
      <c r="J20" s="59">
        <f>E20-(F20+G20+H20+I20)</f>
        <v>1149</v>
      </c>
      <c r="M20" s="9">
        <f>E20-(SUM(F20,G20,H20))</f>
        <v>1328</v>
      </c>
      <c r="N20" s="9">
        <f t="shared" si="1"/>
        <v>1328</v>
      </c>
      <c r="O20" s="9">
        <f t="shared" si="2"/>
        <v>0</v>
      </c>
      <c r="P20" s="7">
        <f>M20/M24*I24</f>
        <v>179.49036940365039</v>
      </c>
    </row>
    <row r="21" spans="1:16" s="7" customFormat="1" ht="29.25" customHeight="1">
      <c r="A21" s="11"/>
      <c r="B21" s="160"/>
      <c r="C21" s="161" t="s">
        <v>26</v>
      </c>
      <c r="D21" s="161"/>
      <c r="E21" s="59">
        <v>5691</v>
      </c>
      <c r="F21" s="59">
        <v>194</v>
      </c>
      <c r="G21" s="59">
        <v>0</v>
      </c>
      <c r="H21" s="59">
        <v>0</v>
      </c>
      <c r="I21" s="60">
        <f>ROUND(I24/M24*M21,0)</f>
        <v>743</v>
      </c>
      <c r="J21" s="59">
        <f>E21-(F21+G21+H21+I21)</f>
        <v>4754</v>
      </c>
      <c r="M21" s="9">
        <f t="shared" si="0"/>
        <v>5497</v>
      </c>
      <c r="N21" s="9">
        <f t="shared" si="1"/>
        <v>5497</v>
      </c>
      <c r="O21" s="9">
        <f t="shared" si="2"/>
        <v>0</v>
      </c>
      <c r="P21" s="7">
        <f>M21/M24*I24</f>
        <v>742.96578359327282</v>
      </c>
    </row>
    <row r="22" spans="1:16" s="7" customFormat="1" ht="29.25" customHeight="1">
      <c r="A22" s="11"/>
      <c r="B22" s="160"/>
      <c r="C22" s="161" t="s">
        <v>27</v>
      </c>
      <c r="D22" s="161"/>
      <c r="E22" s="59">
        <v>6838</v>
      </c>
      <c r="F22" s="59">
        <v>410</v>
      </c>
      <c r="G22" s="59">
        <v>0</v>
      </c>
      <c r="H22" s="59">
        <v>1590</v>
      </c>
      <c r="I22" s="60">
        <f>ROUND(I24/M24*M22,0)</f>
        <v>654</v>
      </c>
      <c r="J22" s="59">
        <f t="shared" ref="J22" si="7">E22-(F22+G22+H22+I22)</f>
        <v>4184</v>
      </c>
      <c r="M22" s="9">
        <f t="shared" si="0"/>
        <v>4838</v>
      </c>
      <c r="N22" s="9">
        <f t="shared" si="1"/>
        <v>4838</v>
      </c>
      <c r="O22" s="9">
        <f t="shared" si="2"/>
        <v>0</v>
      </c>
      <c r="P22" s="7">
        <f>M22/M24*I24</f>
        <v>653.8963909449252</v>
      </c>
    </row>
    <row r="23" spans="1:16" s="7" customFormat="1" ht="29.25" customHeight="1">
      <c r="A23" s="11"/>
      <c r="B23" s="160"/>
      <c r="C23" s="160" t="s">
        <v>105</v>
      </c>
      <c r="D23" s="160"/>
      <c r="E23" s="59">
        <f>SUM(E20:E22)</f>
        <v>18175</v>
      </c>
      <c r="F23" s="59">
        <f t="shared" ref="F23:I23" si="8">SUM(F20:F22)</f>
        <v>1699</v>
      </c>
      <c r="G23" s="59">
        <f t="shared" si="8"/>
        <v>3200</v>
      </c>
      <c r="H23" s="59">
        <f t="shared" si="8"/>
        <v>1613</v>
      </c>
      <c r="I23" s="60">
        <f t="shared" si="8"/>
        <v>1576</v>
      </c>
      <c r="J23" s="59">
        <f>SUM(J20:J22)</f>
        <v>10087</v>
      </c>
      <c r="M23" s="9">
        <f t="shared" si="0"/>
        <v>11663</v>
      </c>
      <c r="N23" s="9">
        <f t="shared" si="1"/>
        <v>11663</v>
      </c>
      <c r="O23" s="9">
        <f t="shared" si="2"/>
        <v>0</v>
      </c>
      <c r="P23" s="7">
        <f>M23/M24*I24</f>
        <v>1576.3525439418484</v>
      </c>
    </row>
    <row r="24" spans="1:16" s="7" customFormat="1" ht="29.25" customHeight="1">
      <c r="A24" s="11"/>
      <c r="B24" s="160" t="s">
        <v>106</v>
      </c>
      <c r="C24" s="160"/>
      <c r="D24" s="160"/>
      <c r="E24" s="59">
        <f>SUM(E23,E19,E15)</f>
        <v>475421</v>
      </c>
      <c r="F24" s="59">
        <f t="shared" ref="F24:H24" si="9">SUM(F23,F19,F15)</f>
        <v>191285</v>
      </c>
      <c r="G24" s="59">
        <f t="shared" si="9"/>
        <v>5300</v>
      </c>
      <c r="H24" s="59">
        <f t="shared" si="9"/>
        <v>15249</v>
      </c>
      <c r="I24" s="60">
        <f>I4</f>
        <v>35626</v>
      </c>
      <c r="J24" s="59">
        <f>SUM(J23,J19,J15)</f>
        <v>227961</v>
      </c>
      <c r="M24" s="9">
        <f>E24-(SUM(F24,G24,H24))</f>
        <v>263587</v>
      </c>
      <c r="N24" s="9">
        <f>I24+J24</f>
        <v>263587</v>
      </c>
      <c r="O24" s="9">
        <f t="shared" si="2"/>
        <v>0</v>
      </c>
      <c r="P24" s="7">
        <f>M24/M24*I24</f>
        <v>35626</v>
      </c>
    </row>
    <row r="25" spans="1:16" ht="29.25" customHeight="1">
      <c r="B25" s="7" t="s">
        <v>30</v>
      </c>
    </row>
    <row r="26" spans="1:16" ht="21.75" customHeight="1">
      <c r="I26" s="9"/>
      <c r="J26" s="9"/>
    </row>
    <row r="27" spans="1:16" ht="21.75" customHeight="1"/>
  </sheetData>
  <mergeCells count="23">
    <mergeCell ref="B24:D24"/>
    <mergeCell ref="B12:B15"/>
    <mergeCell ref="C12:D12"/>
    <mergeCell ref="C13:D13"/>
    <mergeCell ref="C14:D14"/>
    <mergeCell ref="C15:D15"/>
    <mergeCell ref="B16:B19"/>
    <mergeCell ref="C16:D16"/>
    <mergeCell ref="C17:D17"/>
    <mergeCell ref="C18:D18"/>
    <mergeCell ref="C19:D19"/>
    <mergeCell ref="B20:B23"/>
    <mergeCell ref="C20:D20"/>
    <mergeCell ref="C21:D21"/>
    <mergeCell ref="C22:D22"/>
    <mergeCell ref="C23:D23"/>
    <mergeCell ref="B1:J2"/>
    <mergeCell ref="B9:B11"/>
    <mergeCell ref="C9:D11"/>
    <mergeCell ref="E9:E11"/>
    <mergeCell ref="F9:J9"/>
    <mergeCell ref="F10:H10"/>
    <mergeCell ref="I10:J10"/>
  </mergeCells>
  <phoneticPr fontId="2"/>
  <pageMargins left="0.19685039370078741" right="0.70866141732283472" top="0.74803149606299213" bottom="0.74803149606299213" header="0.31496062992125984" footer="0.31496062992125984"/>
  <pageSetup paperSize="9" scale="72" fitToHeight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zoomScale="80" zoomScaleNormal="80" workbookViewId="0">
      <selection activeCell="C20" sqref="C20:D20"/>
    </sheetView>
  </sheetViews>
  <sheetFormatPr defaultRowHeight="16.5" customHeight="1"/>
  <cols>
    <col min="1" max="1" width="10.75" style="1" customWidth="1"/>
    <col min="2" max="2" width="22.875" style="1" customWidth="1"/>
    <col min="3" max="3" width="47.375" style="14" customWidth="1"/>
    <col min="4" max="4" width="13.75" style="15" customWidth="1"/>
    <col min="5" max="5" width="42.375" style="1" customWidth="1"/>
    <col min="6" max="9" width="13.5" style="15" customWidth="1"/>
    <col min="10" max="10" width="15.75" style="15" customWidth="1"/>
    <col min="11" max="16384" width="9" style="1"/>
  </cols>
  <sheetData>
    <row r="1" spans="1:11" ht="16.5" customHeight="1">
      <c r="A1" s="13" t="s">
        <v>102</v>
      </c>
    </row>
    <row r="2" spans="1:11" ht="16.5" customHeight="1">
      <c r="J2" s="16" t="s">
        <v>87</v>
      </c>
    </row>
    <row r="3" spans="1:11" ht="16.5" customHeight="1">
      <c r="A3" s="17" t="s">
        <v>5</v>
      </c>
      <c r="B3" s="17" t="s">
        <v>6</v>
      </c>
      <c r="C3" s="18" t="s">
        <v>71</v>
      </c>
      <c r="D3" s="19" t="s">
        <v>46</v>
      </c>
      <c r="E3" s="17" t="s">
        <v>6</v>
      </c>
      <c r="F3" s="19" t="s">
        <v>7</v>
      </c>
      <c r="G3" s="19" t="s">
        <v>8</v>
      </c>
      <c r="H3" s="19" t="s">
        <v>9</v>
      </c>
      <c r="I3" s="19" t="s">
        <v>11</v>
      </c>
      <c r="J3" s="20" t="s">
        <v>44</v>
      </c>
    </row>
    <row r="4" spans="1:11" ht="16.5" customHeight="1">
      <c r="A4" s="45" t="s">
        <v>16</v>
      </c>
      <c r="B4" s="46"/>
      <c r="C4" s="47"/>
      <c r="D4" s="42">
        <f>SUM(D5,D11,D24)</f>
        <v>307589310</v>
      </c>
      <c r="E4" s="43" t="s">
        <v>90</v>
      </c>
      <c r="F4" s="42">
        <f>SUM(F5,F11,F24)</f>
        <v>160871560</v>
      </c>
      <c r="G4" s="42">
        <f>SUM(G5,G11,G24)</f>
        <v>2100000</v>
      </c>
      <c r="H4" s="42">
        <f>SUM(H5,H11,H24)</f>
        <v>13635745</v>
      </c>
      <c r="I4" s="42">
        <f>SUM(I5,I11,I24)</f>
        <v>130982005</v>
      </c>
      <c r="J4" s="42">
        <f>SUM(J5,J11,J24)</f>
        <v>307589310</v>
      </c>
      <c r="K4" s="58"/>
    </row>
    <row r="5" spans="1:11" ht="16.5" customHeight="1">
      <c r="A5" s="45"/>
      <c r="B5" s="56" t="s">
        <v>28</v>
      </c>
      <c r="C5" s="32" t="s">
        <v>68</v>
      </c>
      <c r="D5" s="33">
        <f>SUM(J5)</f>
        <v>184502739</v>
      </c>
      <c r="E5" s="55" t="s">
        <v>91</v>
      </c>
      <c r="F5" s="24">
        <f>SUM(F6:F10)</f>
        <v>126849500</v>
      </c>
      <c r="G5" s="24">
        <f>SUM(G6:G10)</f>
        <v>0</v>
      </c>
      <c r="H5" s="24">
        <f>SUM(H6:H10)</f>
        <v>349626</v>
      </c>
      <c r="I5" s="24">
        <f t="shared" ref="I5:J5" si="0">SUM(I6:I10)</f>
        <v>57303613</v>
      </c>
      <c r="J5" s="24">
        <f t="shared" si="0"/>
        <v>184502739</v>
      </c>
      <c r="K5" s="58"/>
    </row>
    <row r="6" spans="1:11" ht="16.5" customHeight="1">
      <c r="A6" s="45"/>
      <c r="B6" s="21"/>
      <c r="C6" s="22"/>
      <c r="D6" s="25"/>
      <c r="E6" s="26" t="s">
        <v>40</v>
      </c>
      <c r="F6" s="27">
        <v>2362000</v>
      </c>
      <c r="G6" s="27"/>
      <c r="H6" s="27">
        <v>349626</v>
      </c>
      <c r="I6" s="24">
        <f>J6-SUM(F6,G6,H6)</f>
        <v>2375420</v>
      </c>
      <c r="J6" s="27">
        <v>5087046</v>
      </c>
    </row>
    <row r="7" spans="1:11" ht="16.5" customHeight="1">
      <c r="A7" s="45"/>
      <c r="B7" s="21"/>
      <c r="C7" s="22"/>
      <c r="D7" s="25"/>
      <c r="E7" s="26" t="s">
        <v>45</v>
      </c>
      <c r="F7" s="27"/>
      <c r="G7" s="27"/>
      <c r="H7" s="27"/>
      <c r="I7" s="24">
        <f>J7-SUM(F7,G7,H7)</f>
        <v>338558</v>
      </c>
      <c r="J7" s="27">
        <v>338558</v>
      </c>
    </row>
    <row r="8" spans="1:11" ht="16.5" customHeight="1">
      <c r="A8" s="45"/>
      <c r="B8" s="21"/>
      <c r="C8" s="22"/>
      <c r="D8" s="25"/>
      <c r="E8" s="28" t="s">
        <v>41</v>
      </c>
      <c r="F8" s="27">
        <v>120975000</v>
      </c>
      <c r="G8" s="27"/>
      <c r="H8" s="27"/>
      <c r="I8" s="24">
        <f t="shared" ref="I8:I9" si="1">J8-SUM(F8,G8,H8)</f>
        <v>44813097</v>
      </c>
      <c r="J8" s="27">
        <v>165788097</v>
      </c>
    </row>
    <row r="9" spans="1:11" ht="16.5" customHeight="1">
      <c r="A9" s="45"/>
      <c r="B9" s="21"/>
      <c r="C9" s="22"/>
      <c r="D9" s="25"/>
      <c r="E9" s="26" t="s">
        <v>42</v>
      </c>
      <c r="F9" s="27">
        <v>2212500</v>
      </c>
      <c r="G9" s="27"/>
      <c r="H9" s="27"/>
      <c r="I9" s="24">
        <f t="shared" si="1"/>
        <v>2448018</v>
      </c>
      <c r="J9" s="27">
        <v>4660518</v>
      </c>
    </row>
    <row r="10" spans="1:11" ht="16.5" customHeight="1">
      <c r="A10" s="45"/>
      <c r="B10" s="21"/>
      <c r="C10" s="22"/>
      <c r="D10" s="25"/>
      <c r="E10" s="29" t="s">
        <v>43</v>
      </c>
      <c r="F10" s="30">
        <v>1300000</v>
      </c>
      <c r="G10" s="30"/>
      <c r="H10" s="30"/>
      <c r="I10" s="31">
        <f>J10-SUM(F10,G10,H10)</f>
        <v>7328520</v>
      </c>
      <c r="J10" s="30">
        <v>8628520</v>
      </c>
    </row>
    <row r="11" spans="1:11" ht="16.5" customHeight="1">
      <c r="A11" s="45"/>
      <c r="B11" s="56" t="s">
        <v>24</v>
      </c>
      <c r="C11" s="32" t="s">
        <v>69</v>
      </c>
      <c r="D11" s="33">
        <f>SUM(J11)</f>
        <v>39379509</v>
      </c>
      <c r="E11" s="55" t="s">
        <v>91</v>
      </c>
      <c r="F11" s="24">
        <f>SUM(F12:F23)</f>
        <v>2636400</v>
      </c>
      <c r="G11" s="24">
        <f>SUM(G12:G23)</f>
        <v>2100000</v>
      </c>
      <c r="H11" s="24">
        <f>SUM(H12:H23)</f>
        <v>1819129</v>
      </c>
      <c r="I11" s="24">
        <f>SUM(I12:I23)</f>
        <v>32823980</v>
      </c>
      <c r="J11" s="24">
        <f>SUM(J12:J23)</f>
        <v>39379509</v>
      </c>
      <c r="K11" s="58"/>
    </row>
    <row r="12" spans="1:11" ht="16.5" customHeight="1">
      <c r="A12" s="45"/>
      <c r="B12" s="21"/>
      <c r="C12" s="22"/>
      <c r="D12" s="25"/>
      <c r="E12" s="26" t="s">
        <v>47</v>
      </c>
      <c r="F12" s="27">
        <v>2550000</v>
      </c>
      <c r="G12" s="27"/>
      <c r="H12" s="27">
        <v>1588609</v>
      </c>
      <c r="I12" s="31">
        <f t="shared" ref="I12:I30" si="2">J12-SUM(F12,G12,H12)</f>
        <v>10905984</v>
      </c>
      <c r="J12" s="27">
        <v>15044593</v>
      </c>
    </row>
    <row r="13" spans="1:11" ht="16.5" customHeight="1">
      <c r="A13" s="45"/>
      <c r="B13" s="21"/>
      <c r="C13" s="22"/>
      <c r="D13" s="25"/>
      <c r="E13" s="26" t="s">
        <v>48</v>
      </c>
      <c r="F13" s="27"/>
      <c r="G13" s="27"/>
      <c r="H13" s="27">
        <v>17573</v>
      </c>
      <c r="I13" s="31">
        <f t="shared" si="2"/>
        <v>158157</v>
      </c>
      <c r="J13" s="27">
        <v>175730</v>
      </c>
    </row>
    <row r="14" spans="1:11" ht="16.5" customHeight="1">
      <c r="A14" s="45"/>
      <c r="B14" s="21"/>
      <c r="C14" s="22"/>
      <c r="D14" s="25"/>
      <c r="E14" s="26" t="s">
        <v>49</v>
      </c>
      <c r="F14" s="27"/>
      <c r="G14" s="27"/>
      <c r="H14" s="27">
        <v>125913</v>
      </c>
      <c r="I14" s="31">
        <f t="shared" si="2"/>
        <v>11785998</v>
      </c>
      <c r="J14" s="27">
        <v>11911911</v>
      </c>
    </row>
    <row r="15" spans="1:11" ht="16.5" customHeight="1">
      <c r="A15" s="45"/>
      <c r="B15" s="21"/>
      <c r="C15" s="22"/>
      <c r="D15" s="25"/>
      <c r="E15" s="26" t="s">
        <v>50</v>
      </c>
      <c r="F15" s="27"/>
      <c r="G15" s="27"/>
      <c r="H15" s="27">
        <v>8784</v>
      </c>
      <c r="I15" s="31">
        <f t="shared" si="2"/>
        <v>6312482</v>
      </c>
      <c r="J15" s="27">
        <v>6321266</v>
      </c>
    </row>
    <row r="16" spans="1:11" ht="16.5" customHeight="1">
      <c r="A16" s="45"/>
      <c r="B16" s="21"/>
      <c r="C16" s="22"/>
      <c r="D16" s="25"/>
      <c r="E16" s="26" t="s">
        <v>51</v>
      </c>
      <c r="F16" s="27"/>
      <c r="G16" s="27"/>
      <c r="H16" s="27"/>
      <c r="I16" s="31">
        <f t="shared" si="2"/>
        <v>654815</v>
      </c>
      <c r="J16" s="27">
        <v>654815</v>
      </c>
    </row>
    <row r="17" spans="1:11" ht="16.5" customHeight="1">
      <c r="A17" s="45"/>
      <c r="B17" s="21"/>
      <c r="C17" s="22"/>
      <c r="D17" s="25"/>
      <c r="E17" s="26" t="s">
        <v>52</v>
      </c>
      <c r="F17" s="27"/>
      <c r="G17" s="27">
        <v>800000</v>
      </c>
      <c r="H17" s="27">
        <v>78250</v>
      </c>
      <c r="I17" s="31">
        <f t="shared" si="2"/>
        <v>32506</v>
      </c>
      <c r="J17" s="27">
        <v>910756</v>
      </c>
    </row>
    <row r="18" spans="1:11" ht="16.5" customHeight="1">
      <c r="A18" s="45"/>
      <c r="B18" s="21"/>
      <c r="C18" s="22"/>
      <c r="D18" s="25"/>
      <c r="E18" s="26" t="s">
        <v>53</v>
      </c>
      <c r="F18" s="27"/>
      <c r="G18" s="27"/>
      <c r="H18" s="27"/>
      <c r="I18" s="31">
        <f t="shared" si="2"/>
        <v>320640</v>
      </c>
      <c r="J18" s="27">
        <v>320640</v>
      </c>
    </row>
    <row r="19" spans="1:11" ht="16.5" customHeight="1">
      <c r="A19" s="45"/>
      <c r="B19" s="21"/>
      <c r="C19" s="22"/>
      <c r="D19" s="25"/>
      <c r="E19" s="26" t="s">
        <v>54</v>
      </c>
      <c r="F19" s="27"/>
      <c r="G19" s="27"/>
      <c r="H19" s="27"/>
      <c r="I19" s="31">
        <f t="shared" si="2"/>
        <v>410000</v>
      </c>
      <c r="J19" s="27">
        <v>410000</v>
      </c>
    </row>
    <row r="20" spans="1:11" ht="16.5" customHeight="1">
      <c r="A20" s="45"/>
      <c r="B20" s="21"/>
      <c r="C20" s="22"/>
      <c r="D20" s="25"/>
      <c r="E20" s="26" t="s">
        <v>55</v>
      </c>
      <c r="F20" s="27">
        <v>86400</v>
      </c>
      <c r="G20" s="27"/>
      <c r="H20" s="27"/>
      <c r="I20" s="31">
        <f t="shared" si="2"/>
        <v>313600</v>
      </c>
      <c r="J20" s="27">
        <v>400000</v>
      </c>
    </row>
    <row r="21" spans="1:11" ht="16.5" customHeight="1">
      <c r="A21" s="45"/>
      <c r="B21" s="21"/>
      <c r="C21" s="22"/>
      <c r="D21" s="25"/>
      <c r="E21" s="26" t="s">
        <v>56</v>
      </c>
      <c r="F21" s="27">
        <v>0</v>
      </c>
      <c r="G21" s="27"/>
      <c r="H21" s="27"/>
      <c r="I21" s="31">
        <f t="shared" si="2"/>
        <v>0</v>
      </c>
      <c r="J21" s="27">
        <v>0</v>
      </c>
    </row>
    <row r="22" spans="1:11" ht="16.5" customHeight="1">
      <c r="A22" s="45"/>
      <c r="B22" s="21"/>
      <c r="C22" s="22"/>
      <c r="D22" s="25"/>
      <c r="E22" s="26" t="s">
        <v>57</v>
      </c>
      <c r="F22" s="27"/>
      <c r="G22" s="27">
        <v>1300000</v>
      </c>
      <c r="H22" s="27"/>
      <c r="I22" s="31">
        <f t="shared" si="2"/>
        <v>86000</v>
      </c>
      <c r="J22" s="27">
        <v>1386000</v>
      </c>
    </row>
    <row r="23" spans="1:11" ht="16.5" customHeight="1">
      <c r="A23" s="45"/>
      <c r="B23" s="21"/>
      <c r="C23" s="22"/>
      <c r="D23" s="25"/>
      <c r="E23" s="29" t="s">
        <v>59</v>
      </c>
      <c r="F23" s="27"/>
      <c r="G23" s="27"/>
      <c r="H23" s="27"/>
      <c r="I23" s="31">
        <f t="shared" si="2"/>
        <v>1843798</v>
      </c>
      <c r="J23" s="27">
        <v>1843798</v>
      </c>
    </row>
    <row r="24" spans="1:11" ht="16.5" customHeight="1">
      <c r="A24" s="45"/>
      <c r="B24" s="56" t="s">
        <v>25</v>
      </c>
      <c r="C24" s="32" t="s">
        <v>70</v>
      </c>
      <c r="D24" s="33">
        <f>SUM(J24)</f>
        <v>83707062</v>
      </c>
      <c r="E24" s="55" t="s">
        <v>91</v>
      </c>
      <c r="F24" s="24">
        <f>SUM(F25:F27)</f>
        <v>31385660</v>
      </c>
      <c r="G24" s="24">
        <f t="shared" ref="G24:H24" si="3">SUM(G25:G27)</f>
        <v>0</v>
      </c>
      <c r="H24" s="24">
        <f t="shared" si="3"/>
        <v>11466990</v>
      </c>
      <c r="I24" s="24">
        <f>SUM(I25:I27)</f>
        <v>40854412</v>
      </c>
      <c r="J24" s="24">
        <f>SUM(J25:J27)</f>
        <v>83707062</v>
      </c>
      <c r="K24" s="58"/>
    </row>
    <row r="25" spans="1:11" ht="16.5" customHeight="1">
      <c r="A25" s="45"/>
      <c r="B25" s="21"/>
      <c r="C25" s="22"/>
      <c r="D25" s="25"/>
      <c r="E25" s="28" t="s">
        <v>60</v>
      </c>
      <c r="F25" s="27">
        <v>23572750</v>
      </c>
      <c r="G25" s="27"/>
      <c r="H25" s="27"/>
      <c r="I25" s="31">
        <f t="shared" si="2"/>
        <v>4259284</v>
      </c>
      <c r="J25" s="27">
        <v>27832034</v>
      </c>
    </row>
    <row r="26" spans="1:11" ht="16.5" customHeight="1">
      <c r="A26" s="45"/>
      <c r="B26" s="21"/>
      <c r="C26" s="22"/>
      <c r="D26" s="25"/>
      <c r="E26" s="28" t="s">
        <v>61</v>
      </c>
      <c r="F26" s="27">
        <v>7812910</v>
      </c>
      <c r="G26" s="27"/>
      <c r="H26" s="27">
        <v>11466990</v>
      </c>
      <c r="I26" s="31">
        <f t="shared" si="2"/>
        <v>36375652</v>
      </c>
      <c r="J26" s="27">
        <v>55655552</v>
      </c>
    </row>
    <row r="27" spans="1:11" ht="16.5" customHeight="1">
      <c r="A27" s="48"/>
      <c r="B27" s="34"/>
      <c r="C27" s="35"/>
      <c r="D27" s="36"/>
      <c r="E27" s="28" t="s">
        <v>62</v>
      </c>
      <c r="F27" s="27"/>
      <c r="G27" s="27"/>
      <c r="H27" s="27"/>
      <c r="I27" s="24">
        <f t="shared" si="2"/>
        <v>219476</v>
      </c>
      <c r="J27" s="27">
        <v>219476</v>
      </c>
    </row>
    <row r="28" spans="1:11" ht="16.5" customHeight="1">
      <c r="A28" s="45" t="s">
        <v>89</v>
      </c>
      <c r="B28" s="49"/>
      <c r="C28" s="50"/>
      <c r="D28" s="44">
        <f>SUM(D29,D31,D33)</f>
        <v>149657025</v>
      </c>
      <c r="E28" s="43" t="s">
        <v>90</v>
      </c>
      <c r="F28" s="44">
        <f t="shared" ref="F28:J28" si="4">SUM(F29,F31,F33)</f>
        <v>28714103</v>
      </c>
      <c r="G28" s="44">
        <f t="shared" si="4"/>
        <v>0</v>
      </c>
      <c r="H28" s="44">
        <f t="shared" si="4"/>
        <v>0</v>
      </c>
      <c r="I28" s="44">
        <f t="shared" si="4"/>
        <v>120942922</v>
      </c>
      <c r="J28" s="44">
        <f t="shared" si="4"/>
        <v>149657025</v>
      </c>
      <c r="K28" s="58"/>
    </row>
    <row r="29" spans="1:11" ht="16.5" customHeight="1">
      <c r="A29" s="45"/>
      <c r="B29" s="56" t="s">
        <v>19</v>
      </c>
      <c r="C29" s="37" t="s">
        <v>31</v>
      </c>
      <c r="D29" s="31">
        <f>SUM(J29)</f>
        <v>27678897</v>
      </c>
      <c r="E29" s="55" t="s">
        <v>91</v>
      </c>
      <c r="F29" s="24">
        <f>SUM(F30)</f>
        <v>15627849</v>
      </c>
      <c r="G29" s="24">
        <f t="shared" ref="G29:J29" si="5">SUM(G30)</f>
        <v>0</v>
      </c>
      <c r="H29" s="24">
        <f t="shared" si="5"/>
        <v>0</v>
      </c>
      <c r="I29" s="24">
        <f t="shared" si="5"/>
        <v>12051048</v>
      </c>
      <c r="J29" s="24">
        <f t="shared" si="5"/>
        <v>27678897</v>
      </c>
      <c r="K29" s="58"/>
    </row>
    <row r="30" spans="1:11" ht="16.5" customHeight="1">
      <c r="A30" s="45"/>
      <c r="B30" s="34"/>
      <c r="C30" s="38"/>
      <c r="D30" s="39"/>
      <c r="E30" s="26" t="s">
        <v>63</v>
      </c>
      <c r="F30" s="27">
        <v>15627849</v>
      </c>
      <c r="G30" s="27"/>
      <c r="H30" s="27"/>
      <c r="I30" s="31">
        <f t="shared" si="2"/>
        <v>12051048</v>
      </c>
      <c r="J30" s="27">
        <v>27678897</v>
      </c>
    </row>
    <row r="31" spans="1:11" ht="16.5" customHeight="1">
      <c r="A31" s="45"/>
      <c r="B31" s="56" t="s">
        <v>20</v>
      </c>
      <c r="C31" s="32" t="s">
        <v>32</v>
      </c>
      <c r="D31" s="31">
        <f>SUM(J31)</f>
        <v>56735024</v>
      </c>
      <c r="E31" s="55" t="s">
        <v>91</v>
      </c>
      <c r="F31" s="24">
        <f>SUM(F32)</f>
        <v>3585450</v>
      </c>
      <c r="G31" s="24">
        <f>SUM(G32)</f>
        <v>0</v>
      </c>
      <c r="H31" s="24">
        <f t="shared" ref="H31:J31" si="6">SUM(H32)</f>
        <v>0</v>
      </c>
      <c r="I31" s="24">
        <f t="shared" si="6"/>
        <v>53149574</v>
      </c>
      <c r="J31" s="24">
        <f t="shared" si="6"/>
        <v>56735024</v>
      </c>
      <c r="K31" s="58"/>
    </row>
    <row r="32" spans="1:11" ht="16.5" customHeight="1">
      <c r="A32" s="45"/>
      <c r="B32" s="34"/>
      <c r="C32" s="35"/>
      <c r="D32" s="36"/>
      <c r="E32" s="26" t="s">
        <v>64</v>
      </c>
      <c r="F32" s="27">
        <v>3585450</v>
      </c>
      <c r="G32" s="27"/>
      <c r="H32" s="27"/>
      <c r="I32" s="31">
        <f t="shared" ref="I32" si="7">J32-SUM(F32,G32,H32)</f>
        <v>53149574</v>
      </c>
      <c r="J32" s="27">
        <v>56735024</v>
      </c>
    </row>
    <row r="33" spans="1:11" ht="16.5" customHeight="1">
      <c r="A33" s="45"/>
      <c r="B33" s="57" t="s">
        <v>21</v>
      </c>
      <c r="C33" s="22" t="s">
        <v>33</v>
      </c>
      <c r="D33" s="23">
        <f>SUM(J33)</f>
        <v>65243104</v>
      </c>
      <c r="E33" s="55" t="s">
        <v>91</v>
      </c>
      <c r="F33" s="24">
        <f>SUM(F34:F35)</f>
        <v>9500804</v>
      </c>
      <c r="G33" s="24">
        <f t="shared" ref="G33:J33" si="8">SUM(G34:G35)</f>
        <v>0</v>
      </c>
      <c r="H33" s="24">
        <f t="shared" si="8"/>
        <v>0</v>
      </c>
      <c r="I33" s="24">
        <f t="shared" si="8"/>
        <v>55742300</v>
      </c>
      <c r="J33" s="24">
        <f t="shared" si="8"/>
        <v>65243104</v>
      </c>
      <c r="K33" s="58"/>
    </row>
    <row r="34" spans="1:11" ht="16.5" customHeight="1">
      <c r="A34" s="45"/>
      <c r="B34" s="21"/>
      <c r="C34" s="22" t="s">
        <v>67</v>
      </c>
      <c r="D34" s="25"/>
      <c r="E34" s="26" t="s">
        <v>65</v>
      </c>
      <c r="F34" s="27"/>
      <c r="G34" s="27"/>
      <c r="H34" s="27"/>
      <c r="I34" s="31">
        <f t="shared" ref="I34:I48" si="9">J34-SUM(F34,G34,H34)</f>
        <v>50112365</v>
      </c>
      <c r="J34" s="27">
        <v>50112365</v>
      </c>
    </row>
    <row r="35" spans="1:11" ht="16.5" customHeight="1">
      <c r="A35" s="48"/>
      <c r="B35" s="34"/>
      <c r="C35" s="35"/>
      <c r="D35" s="36"/>
      <c r="E35" s="26" t="s">
        <v>66</v>
      </c>
      <c r="F35" s="27">
        <v>9500804</v>
      </c>
      <c r="G35" s="27"/>
      <c r="H35" s="27"/>
      <c r="I35" s="24">
        <f t="shared" si="9"/>
        <v>5629935</v>
      </c>
      <c r="J35" s="27">
        <v>15130739</v>
      </c>
    </row>
    <row r="36" spans="1:11" ht="16.5" customHeight="1">
      <c r="A36" s="45" t="s">
        <v>18</v>
      </c>
      <c r="B36" s="51"/>
      <c r="C36" s="50"/>
      <c r="D36" s="44">
        <f>SUM(D37,D41,D44)</f>
        <v>18175118</v>
      </c>
      <c r="E36" s="43" t="s">
        <v>90</v>
      </c>
      <c r="F36" s="44">
        <f t="shared" ref="F36:J36" si="10">SUM(F37,F41,F44)</f>
        <v>1699000</v>
      </c>
      <c r="G36" s="44">
        <f t="shared" si="10"/>
        <v>3200000</v>
      </c>
      <c r="H36" s="44">
        <f t="shared" si="10"/>
        <v>1612457</v>
      </c>
      <c r="I36" s="44">
        <f t="shared" si="10"/>
        <v>11663661</v>
      </c>
      <c r="J36" s="44">
        <f t="shared" si="10"/>
        <v>18175118</v>
      </c>
      <c r="K36" s="58"/>
    </row>
    <row r="37" spans="1:11" ht="16.5" customHeight="1">
      <c r="A37" s="54"/>
      <c r="B37" s="56" t="s">
        <v>34</v>
      </c>
      <c r="C37" s="32" t="s">
        <v>37</v>
      </c>
      <c r="D37" s="33">
        <f>SUM(J37)</f>
        <v>5646220</v>
      </c>
      <c r="E37" s="55" t="s">
        <v>91</v>
      </c>
      <c r="F37" s="24">
        <f>SUM(F38:F40)</f>
        <v>1095000</v>
      </c>
      <c r="G37" s="24">
        <f t="shared" ref="G37:J37" si="11">SUM(G38:G40)</f>
        <v>3200000</v>
      </c>
      <c r="H37" s="24">
        <f t="shared" si="11"/>
        <v>22473</v>
      </c>
      <c r="I37" s="24">
        <f t="shared" si="11"/>
        <v>1328747</v>
      </c>
      <c r="J37" s="24">
        <f t="shared" si="11"/>
        <v>5646220</v>
      </c>
      <c r="K37" s="58"/>
    </row>
    <row r="38" spans="1:11" ht="16.5" customHeight="1">
      <c r="A38" s="45"/>
      <c r="B38" s="40"/>
      <c r="C38" s="22" t="s">
        <v>72</v>
      </c>
      <c r="D38" s="25"/>
      <c r="E38" s="28" t="s">
        <v>78</v>
      </c>
      <c r="F38" s="27">
        <v>323000</v>
      </c>
      <c r="G38" s="27"/>
      <c r="H38" s="27">
        <v>22473</v>
      </c>
      <c r="I38" s="31">
        <f t="shared" si="9"/>
        <v>403295</v>
      </c>
      <c r="J38" s="27">
        <v>748768</v>
      </c>
    </row>
    <row r="39" spans="1:11" ht="16.5" customHeight="1">
      <c r="A39" s="45"/>
      <c r="B39" s="40"/>
      <c r="C39" s="22" t="s">
        <v>73</v>
      </c>
      <c r="D39" s="25"/>
      <c r="E39" s="28" t="s">
        <v>79</v>
      </c>
      <c r="F39" s="27">
        <v>772000</v>
      </c>
      <c r="G39" s="27">
        <v>3200000</v>
      </c>
      <c r="H39" s="27"/>
      <c r="I39" s="31">
        <f t="shared" si="9"/>
        <v>925452</v>
      </c>
      <c r="J39" s="27">
        <v>4897452</v>
      </c>
    </row>
    <row r="40" spans="1:11" ht="16.5" customHeight="1">
      <c r="A40" s="45"/>
      <c r="B40" s="21"/>
      <c r="C40" s="22"/>
      <c r="D40" s="25"/>
      <c r="E40" s="28" t="s">
        <v>80</v>
      </c>
      <c r="F40" s="27">
        <v>0</v>
      </c>
      <c r="G40" s="27"/>
      <c r="H40" s="27">
        <v>0</v>
      </c>
      <c r="I40" s="31">
        <f t="shared" si="9"/>
        <v>0</v>
      </c>
      <c r="J40" s="27">
        <v>0</v>
      </c>
    </row>
    <row r="41" spans="1:11" ht="16.5" customHeight="1">
      <c r="A41" s="45"/>
      <c r="B41" s="56" t="s">
        <v>26</v>
      </c>
      <c r="C41" s="32" t="s">
        <v>35</v>
      </c>
      <c r="D41" s="33">
        <f>SUM(J41)</f>
        <v>5691098</v>
      </c>
      <c r="E41" s="55" t="s">
        <v>91</v>
      </c>
      <c r="F41" s="24">
        <f>SUM(F42:F43)</f>
        <v>194000</v>
      </c>
      <c r="G41" s="24">
        <f t="shared" ref="G41:J41" si="12">SUM(G42:G43)</f>
        <v>0</v>
      </c>
      <c r="H41" s="24">
        <f t="shared" si="12"/>
        <v>0</v>
      </c>
      <c r="I41" s="24">
        <f t="shared" si="12"/>
        <v>5497098</v>
      </c>
      <c r="J41" s="24">
        <f t="shared" si="12"/>
        <v>5691098</v>
      </c>
      <c r="K41" s="58"/>
    </row>
    <row r="42" spans="1:11" ht="16.5" customHeight="1">
      <c r="A42" s="45"/>
      <c r="B42" s="21"/>
      <c r="C42" s="22" t="s">
        <v>74</v>
      </c>
      <c r="D42" s="25"/>
      <c r="E42" s="28" t="s">
        <v>81</v>
      </c>
      <c r="F42" s="27"/>
      <c r="G42" s="27"/>
      <c r="H42" s="27"/>
      <c r="I42" s="31">
        <f t="shared" si="9"/>
        <v>155830</v>
      </c>
      <c r="J42" s="27">
        <v>155830</v>
      </c>
    </row>
    <row r="43" spans="1:11" ht="16.5" customHeight="1">
      <c r="A43" s="45"/>
      <c r="B43" s="34"/>
      <c r="C43" s="35"/>
      <c r="D43" s="36"/>
      <c r="E43" s="28" t="s">
        <v>82</v>
      </c>
      <c r="F43" s="27">
        <v>194000</v>
      </c>
      <c r="G43" s="27"/>
      <c r="H43" s="27"/>
      <c r="I43" s="31">
        <f t="shared" si="9"/>
        <v>5341268</v>
      </c>
      <c r="J43" s="27">
        <v>5535268</v>
      </c>
    </row>
    <row r="44" spans="1:11" ht="16.5" customHeight="1">
      <c r="A44" s="45"/>
      <c r="B44" s="57" t="s">
        <v>27</v>
      </c>
      <c r="C44" s="22" t="s">
        <v>36</v>
      </c>
      <c r="D44" s="23">
        <f>SUM(J44)</f>
        <v>6837800</v>
      </c>
      <c r="E44" s="55" t="s">
        <v>91</v>
      </c>
      <c r="F44" s="24">
        <f>SUM(F45:F48)</f>
        <v>410000</v>
      </c>
      <c r="G44" s="24">
        <f t="shared" ref="G44:J44" si="13">SUM(G45:G48)</f>
        <v>0</v>
      </c>
      <c r="H44" s="24">
        <f t="shared" si="13"/>
        <v>1589984</v>
      </c>
      <c r="I44" s="24">
        <f t="shared" si="13"/>
        <v>4837816</v>
      </c>
      <c r="J44" s="24">
        <f t="shared" si="13"/>
        <v>6837800</v>
      </c>
      <c r="K44" s="58"/>
    </row>
    <row r="45" spans="1:11" ht="16.5" customHeight="1">
      <c r="A45" s="45"/>
      <c r="B45" s="21"/>
      <c r="C45" s="22" t="s">
        <v>75</v>
      </c>
      <c r="D45" s="25"/>
      <c r="E45" s="28" t="s">
        <v>83</v>
      </c>
      <c r="F45" s="27">
        <v>6000</v>
      </c>
      <c r="G45" s="27"/>
      <c r="H45" s="27">
        <v>263000</v>
      </c>
      <c r="I45" s="31">
        <f t="shared" si="9"/>
        <v>1279282</v>
      </c>
      <c r="J45" s="27">
        <v>1548282</v>
      </c>
    </row>
    <row r="46" spans="1:11" ht="16.5" customHeight="1">
      <c r="A46" s="45"/>
      <c r="B46" s="21"/>
      <c r="C46" s="22" t="s">
        <v>76</v>
      </c>
      <c r="D46" s="25"/>
      <c r="E46" s="28" t="s">
        <v>84</v>
      </c>
      <c r="F46" s="27"/>
      <c r="G46" s="27"/>
      <c r="H46" s="27"/>
      <c r="I46" s="31">
        <f t="shared" si="9"/>
        <v>3207253</v>
      </c>
      <c r="J46" s="27">
        <v>3207253</v>
      </c>
    </row>
    <row r="47" spans="1:11" ht="16.5" customHeight="1">
      <c r="A47" s="45"/>
      <c r="B47" s="21"/>
      <c r="C47" s="22" t="s">
        <v>77</v>
      </c>
      <c r="D47" s="25"/>
      <c r="E47" s="28" t="s">
        <v>85</v>
      </c>
      <c r="F47" s="27">
        <v>404000</v>
      </c>
      <c r="G47" s="27"/>
      <c r="H47" s="27">
        <v>1297174</v>
      </c>
      <c r="I47" s="31">
        <f t="shared" si="9"/>
        <v>8491</v>
      </c>
      <c r="J47" s="27">
        <v>1709665</v>
      </c>
    </row>
    <row r="48" spans="1:11" ht="16.5" customHeight="1">
      <c r="A48" s="48"/>
      <c r="B48" s="34"/>
      <c r="C48" s="35"/>
      <c r="D48" s="36"/>
      <c r="E48" s="28" t="s">
        <v>86</v>
      </c>
      <c r="F48" s="27"/>
      <c r="G48" s="27"/>
      <c r="H48" s="27">
        <v>29810</v>
      </c>
      <c r="I48" s="24">
        <f t="shared" si="9"/>
        <v>342790</v>
      </c>
      <c r="J48" s="27">
        <v>372600</v>
      </c>
    </row>
    <row r="49" spans="1:11" ht="16.5" customHeight="1">
      <c r="A49" s="164" t="s">
        <v>92</v>
      </c>
      <c r="B49" s="164"/>
      <c r="C49" s="164"/>
      <c r="D49" s="52">
        <f>SUM(D4,D28,D36)</f>
        <v>475421453</v>
      </c>
      <c r="E49" s="53"/>
      <c r="F49" s="52">
        <f>SUM(F4,F28,F36)</f>
        <v>191284663</v>
      </c>
      <c r="G49" s="52">
        <f>SUM(G4,G28,G36)</f>
        <v>5300000</v>
      </c>
      <c r="H49" s="52">
        <f>SUM(H4,H28,H36)</f>
        <v>15248202</v>
      </c>
      <c r="I49" s="52">
        <f>SUM(I4,I28,I36)</f>
        <v>263588588</v>
      </c>
      <c r="J49" s="52">
        <f>SUM(J4,J28,J36)</f>
        <v>475421453</v>
      </c>
      <c r="K49" s="58"/>
    </row>
  </sheetData>
  <mergeCells count="1">
    <mergeCell ref="A49:C49"/>
  </mergeCells>
  <phoneticPr fontId="2"/>
  <pageMargins left="0.7" right="0.7" top="0.75" bottom="0.75" header="0.3" footer="0.3"/>
  <pageSetup paperSize="9" scale="63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7"/>
  <sheetViews>
    <sheetView showGridLines="0" view="pageBreakPreview" topLeftCell="B10" zoomScale="60" zoomScaleNormal="70" workbookViewId="0">
      <selection activeCell="G21" sqref="G21"/>
    </sheetView>
  </sheetViews>
  <sheetFormatPr defaultRowHeight="29.25" customHeight="1"/>
  <cols>
    <col min="1" max="1" width="9.625" style="11" customWidth="1"/>
    <col min="2" max="8" width="19.25" style="1" customWidth="1"/>
    <col min="9" max="9" width="26.625" style="1" customWidth="1"/>
    <col min="10" max="10" width="19.25" style="1" customWidth="1"/>
    <col min="11" max="12" width="5.25" style="1" customWidth="1"/>
    <col min="13" max="15" width="15.75" style="1" customWidth="1"/>
    <col min="16" max="16" width="21.5" style="1" customWidth="1"/>
    <col min="17" max="16384" width="9" style="1"/>
  </cols>
  <sheetData>
    <row r="1" spans="1:16" ht="23.25" customHeight="1">
      <c r="B1" s="162" t="s">
        <v>99</v>
      </c>
      <c r="C1" s="162"/>
      <c r="D1" s="162"/>
      <c r="E1" s="162"/>
      <c r="F1" s="162"/>
      <c r="G1" s="162"/>
      <c r="H1" s="162"/>
      <c r="I1" s="162"/>
      <c r="J1" s="162"/>
    </row>
    <row r="2" spans="1:16" ht="23.25" customHeight="1">
      <c r="A2" s="12"/>
      <c r="B2" s="162"/>
      <c r="C2" s="162"/>
      <c r="D2" s="162"/>
      <c r="E2" s="162"/>
      <c r="F2" s="162"/>
      <c r="G2" s="162"/>
      <c r="H2" s="162"/>
      <c r="I2" s="162"/>
      <c r="J2" s="162"/>
    </row>
    <row r="3" spans="1:16" ht="23.25" customHeight="1"/>
    <row r="4" spans="1:16" s="7" customFormat="1" ht="23.25" customHeight="1">
      <c r="A4" s="11"/>
      <c r="B4" s="5" t="s">
        <v>0</v>
      </c>
      <c r="C4" s="6" t="s">
        <v>1</v>
      </c>
      <c r="D4" s="6"/>
      <c r="E4" s="6"/>
      <c r="F4" s="6"/>
      <c r="I4" s="4">
        <v>22980</v>
      </c>
    </row>
    <row r="5" spans="1:16" ht="23.25" customHeight="1">
      <c r="B5" s="2"/>
      <c r="C5" s="3"/>
      <c r="D5" s="3"/>
      <c r="E5" s="3"/>
      <c r="F5" s="3"/>
    </row>
    <row r="6" spans="1:16" s="7" customFormat="1" ht="23.25" customHeight="1">
      <c r="A6" s="11"/>
      <c r="B6" s="5" t="s">
        <v>2</v>
      </c>
      <c r="C6" s="6" t="s">
        <v>3</v>
      </c>
      <c r="D6" s="6"/>
      <c r="E6" s="6"/>
      <c r="F6" s="6"/>
      <c r="I6" s="4">
        <v>473071</v>
      </c>
    </row>
    <row r="7" spans="1:16" ht="23.25" customHeight="1"/>
    <row r="8" spans="1:16" ht="29.25" customHeight="1">
      <c r="B8" s="7" t="s">
        <v>4</v>
      </c>
      <c r="J8" s="8" t="s">
        <v>14</v>
      </c>
    </row>
    <row r="9" spans="1:16" s="7" customFormat="1" ht="29.25" customHeight="1">
      <c r="A9" s="11"/>
      <c r="B9" s="160" t="s">
        <v>5</v>
      </c>
      <c r="C9" s="160" t="s">
        <v>6</v>
      </c>
      <c r="D9" s="160"/>
      <c r="E9" s="163" t="s">
        <v>101</v>
      </c>
      <c r="F9" s="160" t="s">
        <v>13</v>
      </c>
      <c r="G9" s="160"/>
      <c r="H9" s="160"/>
      <c r="I9" s="160"/>
      <c r="J9" s="160"/>
    </row>
    <row r="10" spans="1:16" s="7" customFormat="1" ht="29.25" customHeight="1">
      <c r="A10" s="11"/>
      <c r="B10" s="160"/>
      <c r="C10" s="160"/>
      <c r="D10" s="160"/>
      <c r="E10" s="160"/>
      <c r="F10" s="160" t="s">
        <v>10</v>
      </c>
      <c r="G10" s="160"/>
      <c r="H10" s="160"/>
      <c r="I10" s="160" t="s">
        <v>11</v>
      </c>
      <c r="J10" s="160"/>
    </row>
    <row r="11" spans="1:16" s="7" customFormat="1" ht="41.25" customHeight="1">
      <c r="A11" s="11"/>
      <c r="B11" s="160"/>
      <c r="C11" s="160"/>
      <c r="D11" s="160"/>
      <c r="E11" s="160"/>
      <c r="F11" s="64" t="s">
        <v>7</v>
      </c>
      <c r="G11" s="64" t="s">
        <v>8</v>
      </c>
      <c r="H11" s="64" t="s">
        <v>9</v>
      </c>
      <c r="I11" s="61" t="s">
        <v>12</v>
      </c>
      <c r="J11" s="64" t="s">
        <v>9</v>
      </c>
      <c r="M11" s="10" t="s">
        <v>29</v>
      </c>
      <c r="N11" s="10" t="s">
        <v>29</v>
      </c>
    </row>
    <row r="12" spans="1:16" s="7" customFormat="1" ht="29.25" customHeight="1">
      <c r="A12" s="11"/>
      <c r="B12" s="160" t="s">
        <v>16</v>
      </c>
      <c r="C12" s="161" t="s">
        <v>28</v>
      </c>
      <c r="D12" s="161"/>
      <c r="E12" s="59">
        <v>162671</v>
      </c>
      <c r="F12" s="59">
        <v>118083</v>
      </c>
      <c r="G12" s="59">
        <v>0</v>
      </c>
      <c r="H12" s="59">
        <v>381</v>
      </c>
      <c r="I12" s="60">
        <f>ROUND(I24/M24*M12,0)</f>
        <v>3755</v>
      </c>
      <c r="J12" s="59">
        <f>E12-(F12+G12+H12+I12)</f>
        <v>40452</v>
      </c>
      <c r="M12" s="9">
        <f>E12-(SUM(F12,G12,H12))</f>
        <v>44207</v>
      </c>
      <c r="N12" s="9">
        <f>I12+J12</f>
        <v>44207</v>
      </c>
      <c r="O12" s="9">
        <f>M12-N12</f>
        <v>0</v>
      </c>
      <c r="P12" s="7">
        <f>M12/M24*I24</f>
        <v>3754.5250467524597</v>
      </c>
    </row>
    <row r="13" spans="1:16" s="7" customFormat="1" ht="29.25" customHeight="1">
      <c r="A13" s="11"/>
      <c r="B13" s="160"/>
      <c r="C13" s="161" t="s">
        <v>24</v>
      </c>
      <c r="D13" s="161"/>
      <c r="E13" s="59">
        <v>41296</v>
      </c>
      <c r="F13" s="59">
        <v>188</v>
      </c>
      <c r="G13" s="59">
        <v>2100</v>
      </c>
      <c r="H13" s="59">
        <v>1873</v>
      </c>
      <c r="I13" s="60">
        <f>ROUND(I24/M24*M13,0)</f>
        <v>3154</v>
      </c>
      <c r="J13" s="59">
        <f>E13-(F13+G13+H13+I13)</f>
        <v>33981</v>
      </c>
      <c r="M13" s="9">
        <f t="shared" ref="M13:M23" si="0">E13-(SUM(F13,G13,H13))</f>
        <v>37135</v>
      </c>
      <c r="N13" s="9">
        <f t="shared" ref="N13:N23" si="1">I13+J13</f>
        <v>37135</v>
      </c>
      <c r="O13" s="9">
        <f t="shared" ref="O13:O24" si="2">M13-N13</f>
        <v>0</v>
      </c>
      <c r="P13" s="7">
        <f>M13/M24*I24</f>
        <v>3153.896161493713</v>
      </c>
    </row>
    <row r="14" spans="1:16" s="7" customFormat="1" ht="29.25" customHeight="1">
      <c r="A14" s="11"/>
      <c r="B14" s="160"/>
      <c r="C14" s="161" t="s">
        <v>25</v>
      </c>
      <c r="D14" s="161"/>
      <c r="E14" s="59">
        <v>80978</v>
      </c>
      <c r="F14" s="59">
        <v>33585</v>
      </c>
      <c r="G14" s="59">
        <v>0</v>
      </c>
      <c r="H14" s="59">
        <v>10080</v>
      </c>
      <c r="I14" s="60">
        <f>ROUND(I24/M24*M14,0)</f>
        <v>3169</v>
      </c>
      <c r="J14" s="59">
        <f t="shared" ref="J14" si="3">E14-(F14+G14+H14+I14)</f>
        <v>34144</v>
      </c>
      <c r="M14" s="9">
        <f t="shared" si="0"/>
        <v>37313</v>
      </c>
      <c r="N14" s="9">
        <f t="shared" si="1"/>
        <v>37313</v>
      </c>
      <c r="O14" s="9">
        <f t="shared" si="2"/>
        <v>0</v>
      </c>
      <c r="P14" s="7">
        <f>M14/M24*I24</f>
        <v>3169.0138002912327</v>
      </c>
    </row>
    <row r="15" spans="1:16" s="7" customFormat="1" ht="29.25" customHeight="1">
      <c r="A15" s="11"/>
      <c r="B15" s="160"/>
      <c r="C15" s="160" t="s">
        <v>22</v>
      </c>
      <c r="D15" s="160"/>
      <c r="E15" s="59">
        <f t="shared" ref="E15:I15" si="4">SUM(E12:E14)</f>
        <v>284945</v>
      </c>
      <c r="F15" s="59">
        <f t="shared" si="4"/>
        <v>151856</v>
      </c>
      <c r="G15" s="59">
        <f t="shared" si="4"/>
        <v>2100</v>
      </c>
      <c r="H15" s="59">
        <f t="shared" si="4"/>
        <v>12334</v>
      </c>
      <c r="I15" s="60">
        <f t="shared" si="4"/>
        <v>10078</v>
      </c>
      <c r="J15" s="59">
        <f>SUM(J12:J14)</f>
        <v>108577</v>
      </c>
      <c r="M15" s="9">
        <f t="shared" si="0"/>
        <v>118655</v>
      </c>
      <c r="N15" s="9">
        <f t="shared" si="1"/>
        <v>118655</v>
      </c>
      <c r="O15" s="9">
        <f t="shared" si="2"/>
        <v>0</v>
      </c>
      <c r="P15" s="7">
        <f>M15/M24*I24</f>
        <v>10077.435008537406</v>
      </c>
    </row>
    <row r="16" spans="1:16" s="7" customFormat="1" ht="29.25" customHeight="1">
      <c r="A16" s="11"/>
      <c r="B16" s="160" t="s">
        <v>17</v>
      </c>
      <c r="C16" s="161" t="s">
        <v>19</v>
      </c>
      <c r="D16" s="161"/>
      <c r="E16" s="59">
        <v>29820</v>
      </c>
      <c r="F16" s="59">
        <v>15510</v>
      </c>
      <c r="G16" s="59">
        <v>0</v>
      </c>
      <c r="H16" s="59">
        <v>0</v>
      </c>
      <c r="I16" s="60">
        <f>ROUND(I24/M24*M16,0)</f>
        <v>1215</v>
      </c>
      <c r="J16" s="59">
        <f>E16-(F16+G16+H16+I16)</f>
        <v>13095</v>
      </c>
      <c r="M16" s="9">
        <f t="shared" si="0"/>
        <v>14310</v>
      </c>
      <c r="N16" s="9">
        <f t="shared" si="1"/>
        <v>14310</v>
      </c>
      <c r="O16" s="9">
        <f t="shared" si="2"/>
        <v>0</v>
      </c>
      <c r="P16" s="7">
        <f>M16/M24*I24</f>
        <v>1215.3562426545047</v>
      </c>
    </row>
    <row r="17" spans="1:16" s="7" customFormat="1" ht="29.25" customHeight="1">
      <c r="A17" s="11"/>
      <c r="B17" s="160"/>
      <c r="C17" s="161" t="s">
        <v>20</v>
      </c>
      <c r="D17" s="161"/>
      <c r="E17" s="59">
        <v>52380</v>
      </c>
      <c r="F17" s="59">
        <v>2154</v>
      </c>
      <c r="G17" s="59">
        <v>0</v>
      </c>
      <c r="H17" s="59">
        <v>0</v>
      </c>
      <c r="I17" s="60">
        <f>ROUND(I24/M24*M17,0)</f>
        <v>4266</v>
      </c>
      <c r="J17" s="59">
        <f t="shared" ref="J17:J18" si="5">E17-(F17+G17+H17+I17)</f>
        <v>45960</v>
      </c>
      <c r="M17" s="9">
        <f t="shared" si="0"/>
        <v>50226</v>
      </c>
      <c r="N17" s="9">
        <f t="shared" si="1"/>
        <v>50226</v>
      </c>
      <c r="O17" s="9">
        <f t="shared" si="2"/>
        <v>0</v>
      </c>
      <c r="P17" s="7">
        <f>M17/M24*I24</f>
        <v>4265.7220575517231</v>
      </c>
    </row>
    <row r="18" spans="1:16" s="7" customFormat="1" ht="29.25" customHeight="1">
      <c r="A18" s="11"/>
      <c r="B18" s="160"/>
      <c r="C18" s="161" t="s">
        <v>21</v>
      </c>
      <c r="D18" s="161"/>
      <c r="E18" s="59">
        <v>76329</v>
      </c>
      <c r="F18" s="59">
        <v>9531</v>
      </c>
      <c r="G18" s="59">
        <v>0</v>
      </c>
      <c r="H18" s="59">
        <v>0</v>
      </c>
      <c r="I18" s="60">
        <f>ROUND(I24/M24*M18,0)</f>
        <v>5673</v>
      </c>
      <c r="J18" s="59">
        <f t="shared" si="5"/>
        <v>61125</v>
      </c>
      <c r="M18" s="9">
        <f t="shared" si="0"/>
        <v>66798</v>
      </c>
      <c r="N18" s="9">
        <f t="shared" si="1"/>
        <v>66798</v>
      </c>
      <c r="O18" s="9">
        <f t="shared" si="2"/>
        <v>0</v>
      </c>
      <c r="P18" s="7">
        <f>M18/M24*I24</f>
        <v>5673.1912157117831</v>
      </c>
    </row>
    <row r="19" spans="1:16" s="7" customFormat="1" ht="29.25" customHeight="1">
      <c r="A19" s="11"/>
      <c r="B19" s="160"/>
      <c r="C19" s="160" t="s">
        <v>22</v>
      </c>
      <c r="D19" s="160"/>
      <c r="E19" s="59">
        <f>SUM(E16:E18)</f>
        <v>158529</v>
      </c>
      <c r="F19" s="59">
        <f t="shared" ref="F19:H19" si="6">SUM(F16:F18)</f>
        <v>27195</v>
      </c>
      <c r="G19" s="59">
        <f t="shared" si="6"/>
        <v>0</v>
      </c>
      <c r="H19" s="59">
        <f t="shared" si="6"/>
        <v>0</v>
      </c>
      <c r="I19" s="60">
        <f>SUM(I16:I18)</f>
        <v>11154</v>
      </c>
      <c r="J19" s="59">
        <f>SUM(J16:J18)</f>
        <v>120180</v>
      </c>
      <c r="M19" s="9">
        <f t="shared" si="0"/>
        <v>131334</v>
      </c>
      <c r="N19" s="9">
        <f t="shared" si="1"/>
        <v>131334</v>
      </c>
      <c r="O19" s="9">
        <f t="shared" si="2"/>
        <v>0</v>
      </c>
      <c r="P19" s="7">
        <f>M19/M24*I24</f>
        <v>11154.269515918011</v>
      </c>
    </row>
    <row r="20" spans="1:16" s="7" customFormat="1" ht="29.25" customHeight="1">
      <c r="A20" s="11"/>
      <c r="B20" s="160" t="s">
        <v>18</v>
      </c>
      <c r="C20" s="161" t="s">
        <v>23</v>
      </c>
      <c r="D20" s="161"/>
      <c r="E20" s="59">
        <v>8871</v>
      </c>
      <c r="F20" s="59">
        <v>1994</v>
      </c>
      <c r="G20" s="59">
        <v>0</v>
      </c>
      <c r="H20" s="59">
        <v>192</v>
      </c>
      <c r="I20" s="60">
        <f>ROUND(I24/M24*M20,0)</f>
        <v>568</v>
      </c>
      <c r="J20" s="59">
        <f>E20-(F20+G20+H20+I20)</f>
        <v>6117</v>
      </c>
      <c r="M20" s="9">
        <f t="shared" si="0"/>
        <v>6685</v>
      </c>
      <c r="N20" s="9">
        <f t="shared" si="1"/>
        <v>6685</v>
      </c>
      <c r="O20" s="9">
        <f t="shared" si="2"/>
        <v>0</v>
      </c>
      <c r="P20" s="7">
        <f>M20/M24*I24</f>
        <v>567.76076045739796</v>
      </c>
    </row>
    <row r="21" spans="1:16" s="7" customFormat="1" ht="29.25" customHeight="1">
      <c r="A21" s="11"/>
      <c r="B21" s="160"/>
      <c r="C21" s="161" t="s">
        <v>26</v>
      </c>
      <c r="D21" s="161"/>
      <c r="E21" s="59">
        <v>5754</v>
      </c>
      <c r="F21" s="59">
        <v>78</v>
      </c>
      <c r="G21" s="59">
        <v>0</v>
      </c>
      <c r="H21" s="59">
        <v>0</v>
      </c>
      <c r="I21" s="60">
        <f>ROUND(I24/M24*M21,0)</f>
        <v>482</v>
      </c>
      <c r="J21" s="59">
        <f>E21-(F21+G21+H21+I21)</f>
        <v>5194</v>
      </c>
      <c r="M21" s="9">
        <f t="shared" si="0"/>
        <v>5676</v>
      </c>
      <c r="N21" s="9">
        <f t="shared" si="1"/>
        <v>5676</v>
      </c>
      <c r="O21" s="9">
        <f t="shared" si="2"/>
        <v>0</v>
      </c>
      <c r="P21" s="7">
        <f>M21/M24*I24</f>
        <v>482.06583041977427</v>
      </c>
    </row>
    <row r="22" spans="1:16" s="7" customFormat="1" ht="29.25" customHeight="1">
      <c r="A22" s="11"/>
      <c r="B22" s="160"/>
      <c r="C22" s="161" t="s">
        <v>27</v>
      </c>
      <c r="D22" s="161"/>
      <c r="E22" s="59">
        <v>14972</v>
      </c>
      <c r="F22" s="59">
        <v>875</v>
      </c>
      <c r="G22" s="59">
        <v>0</v>
      </c>
      <c r="H22" s="59">
        <v>5873</v>
      </c>
      <c r="I22" s="60">
        <f>ROUND(I24/M24*M22,0)</f>
        <v>698</v>
      </c>
      <c r="J22" s="59">
        <f t="shared" ref="J22" si="7">E22-(F22+G22+H22+I22)</f>
        <v>7526</v>
      </c>
      <c r="M22" s="9">
        <f t="shared" si="0"/>
        <v>8224</v>
      </c>
      <c r="N22" s="9">
        <f t="shared" si="1"/>
        <v>8224</v>
      </c>
      <c r="O22" s="9">
        <f t="shared" si="2"/>
        <v>0</v>
      </c>
      <c r="P22" s="7">
        <f>M22/M24*I24</f>
        <v>698.46888466741075</v>
      </c>
    </row>
    <row r="23" spans="1:16" s="7" customFormat="1" ht="29.25" customHeight="1">
      <c r="A23" s="11"/>
      <c r="B23" s="160"/>
      <c r="C23" s="160" t="s">
        <v>22</v>
      </c>
      <c r="D23" s="160"/>
      <c r="E23" s="59">
        <f>SUM(E20:E22)</f>
        <v>29597</v>
      </c>
      <c r="F23" s="59">
        <f t="shared" ref="F23:I23" si="8">SUM(F20:F22)</f>
        <v>2947</v>
      </c>
      <c r="G23" s="59">
        <f t="shared" si="8"/>
        <v>0</v>
      </c>
      <c r="H23" s="59">
        <f t="shared" si="8"/>
        <v>6065</v>
      </c>
      <c r="I23" s="60">
        <f t="shared" si="8"/>
        <v>1748</v>
      </c>
      <c r="J23" s="59">
        <f>SUM(J20:J22)</f>
        <v>18837</v>
      </c>
      <c r="M23" s="9">
        <f t="shared" si="0"/>
        <v>20585</v>
      </c>
      <c r="N23" s="9">
        <f t="shared" si="1"/>
        <v>20585</v>
      </c>
      <c r="O23" s="9">
        <f t="shared" si="2"/>
        <v>0</v>
      </c>
      <c r="P23" s="7">
        <f>M23/M24*I24</f>
        <v>1748.295475544583</v>
      </c>
    </row>
    <row r="24" spans="1:16" s="7" customFormat="1" ht="29.25" customHeight="1">
      <c r="A24" s="11"/>
      <c r="B24" s="160" t="s">
        <v>15</v>
      </c>
      <c r="C24" s="160"/>
      <c r="D24" s="160"/>
      <c r="E24" s="59">
        <f>SUM(E23,E19,E15)</f>
        <v>473071</v>
      </c>
      <c r="F24" s="59">
        <f t="shared" ref="F24:H24" si="9">SUM(F23,F19,F15)</f>
        <v>181998</v>
      </c>
      <c r="G24" s="59">
        <f t="shared" si="9"/>
        <v>2100</v>
      </c>
      <c r="H24" s="59">
        <f t="shared" si="9"/>
        <v>18399</v>
      </c>
      <c r="I24" s="60">
        <f>I4</f>
        <v>22980</v>
      </c>
      <c r="J24" s="59">
        <f>SUM(J23,J19,J15)</f>
        <v>247594</v>
      </c>
      <c r="M24" s="9">
        <f>E24-(SUM(F24,G24,H24))</f>
        <v>270574</v>
      </c>
      <c r="N24" s="9">
        <f>I24+J24</f>
        <v>270574</v>
      </c>
      <c r="O24" s="9">
        <f t="shared" si="2"/>
        <v>0</v>
      </c>
      <c r="P24" s="7">
        <f>M24/M24*I24</f>
        <v>22980</v>
      </c>
    </row>
    <row r="25" spans="1:16" ht="29.25" customHeight="1">
      <c r="B25" s="7" t="s">
        <v>30</v>
      </c>
    </row>
    <row r="26" spans="1:16" ht="21.75" customHeight="1">
      <c r="I26" s="9"/>
      <c r="J26" s="9"/>
    </row>
    <row r="27" spans="1:16" ht="21.75" customHeight="1"/>
  </sheetData>
  <mergeCells count="23">
    <mergeCell ref="B24:D24"/>
    <mergeCell ref="B12:B15"/>
    <mergeCell ref="C12:D12"/>
    <mergeCell ref="C13:D13"/>
    <mergeCell ref="C14:D14"/>
    <mergeCell ref="C15:D15"/>
    <mergeCell ref="B16:B19"/>
    <mergeCell ref="C16:D16"/>
    <mergeCell ref="C17:D17"/>
    <mergeCell ref="C18:D18"/>
    <mergeCell ref="C19:D19"/>
    <mergeCell ref="B20:B23"/>
    <mergeCell ref="C20:D20"/>
    <mergeCell ref="C21:D21"/>
    <mergeCell ref="C22:D22"/>
    <mergeCell ref="C23:D23"/>
    <mergeCell ref="B1:J2"/>
    <mergeCell ref="B9:B11"/>
    <mergeCell ref="C9:D11"/>
    <mergeCell ref="E9:E11"/>
    <mergeCell ref="F9:J9"/>
    <mergeCell ref="F10:H10"/>
    <mergeCell ref="I10:J10"/>
  </mergeCells>
  <phoneticPr fontId="2"/>
  <pageMargins left="0.19685039370078741" right="0.70866141732283472" top="0.74803149606299213" bottom="0.74803149606299213" header="0.31496062992125984" footer="0.31496062992125984"/>
  <pageSetup paperSize="9" scale="72" fitToHeight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topLeftCell="A16" zoomScale="80" zoomScaleNormal="80" workbookViewId="0">
      <selection activeCell="G21" sqref="G21"/>
    </sheetView>
  </sheetViews>
  <sheetFormatPr defaultRowHeight="16.5" customHeight="1"/>
  <cols>
    <col min="1" max="1" width="10.75" style="1" customWidth="1"/>
    <col min="2" max="2" width="22.875" style="1" customWidth="1"/>
    <col min="3" max="3" width="47.375" style="14" customWidth="1"/>
    <col min="4" max="4" width="13.75" style="15" customWidth="1"/>
    <col min="5" max="5" width="42.375" style="1" customWidth="1"/>
    <col min="6" max="9" width="13.5" style="15" customWidth="1"/>
    <col min="10" max="10" width="15.75" style="15" customWidth="1"/>
    <col min="11" max="16384" width="9" style="1"/>
  </cols>
  <sheetData>
    <row r="1" spans="1:11" ht="16.5" customHeight="1">
      <c r="A1" s="13" t="s">
        <v>100</v>
      </c>
    </row>
    <row r="2" spans="1:11" ht="16.5" customHeight="1">
      <c r="J2" s="16" t="s">
        <v>87</v>
      </c>
    </row>
    <row r="3" spans="1:11" ht="16.5" customHeight="1">
      <c r="A3" s="17" t="s">
        <v>5</v>
      </c>
      <c r="B3" s="17" t="s">
        <v>6</v>
      </c>
      <c r="C3" s="18" t="s">
        <v>71</v>
      </c>
      <c r="D3" s="19" t="s">
        <v>46</v>
      </c>
      <c r="E3" s="17" t="s">
        <v>6</v>
      </c>
      <c r="F3" s="19" t="s">
        <v>7</v>
      </c>
      <c r="G3" s="19" t="s">
        <v>8</v>
      </c>
      <c r="H3" s="19" t="s">
        <v>9</v>
      </c>
      <c r="I3" s="19" t="s">
        <v>11</v>
      </c>
      <c r="J3" s="20" t="s">
        <v>44</v>
      </c>
    </row>
    <row r="4" spans="1:11" ht="16.5" customHeight="1">
      <c r="A4" s="45" t="s">
        <v>16</v>
      </c>
      <c r="B4" s="46"/>
      <c r="C4" s="47"/>
      <c r="D4" s="42">
        <f>SUM(D5,D11,D24)</f>
        <v>284944702</v>
      </c>
      <c r="E4" s="43" t="s">
        <v>90</v>
      </c>
      <c r="F4" s="42">
        <f>SUM(F5,F11,F24)</f>
        <v>151855598</v>
      </c>
      <c r="G4" s="42">
        <f>SUM(G5,G11,G24)</f>
        <v>2100000</v>
      </c>
      <c r="H4" s="42">
        <f>SUM(H5,H11,H24)</f>
        <v>12333482</v>
      </c>
      <c r="I4" s="42">
        <f>SUM(I5,I11,I24)</f>
        <v>118655622</v>
      </c>
      <c r="J4" s="42">
        <f>SUM(J5,J11,J24)</f>
        <v>284944702</v>
      </c>
      <c r="K4" s="58"/>
    </row>
    <row r="5" spans="1:11" ht="16.5" customHeight="1">
      <c r="A5" s="45"/>
      <c r="B5" s="56" t="s">
        <v>28</v>
      </c>
      <c r="C5" s="32" t="s">
        <v>68</v>
      </c>
      <c r="D5" s="33">
        <f>SUM(J5)</f>
        <v>162670725</v>
      </c>
      <c r="E5" s="55" t="s">
        <v>91</v>
      </c>
      <c r="F5" s="24">
        <f>SUM(F6:F10)</f>
        <v>118083105</v>
      </c>
      <c r="G5" s="24">
        <f>SUM(G6:G10)</f>
        <v>0</v>
      </c>
      <c r="H5" s="24">
        <f>SUM(H6:H10)</f>
        <v>381100</v>
      </c>
      <c r="I5" s="24">
        <f t="shared" ref="I5:J5" si="0">SUM(I6:I10)</f>
        <v>44206520</v>
      </c>
      <c r="J5" s="24">
        <f t="shared" si="0"/>
        <v>162670725</v>
      </c>
      <c r="K5" s="58"/>
    </row>
    <row r="6" spans="1:11" ht="16.5" customHeight="1">
      <c r="A6" s="45"/>
      <c r="B6" s="21"/>
      <c r="C6" s="22"/>
      <c r="D6" s="25"/>
      <c r="E6" s="26" t="s">
        <v>40</v>
      </c>
      <c r="F6" s="27">
        <v>2291000</v>
      </c>
      <c r="G6" s="27"/>
      <c r="H6" s="27">
        <v>381100</v>
      </c>
      <c r="I6" s="24">
        <f>J6-SUM(F6,G6,H6)</f>
        <v>2403771</v>
      </c>
      <c r="J6" s="27">
        <v>5075871</v>
      </c>
    </row>
    <row r="7" spans="1:11" ht="16.5" customHeight="1">
      <c r="A7" s="45"/>
      <c r="B7" s="21"/>
      <c r="C7" s="22"/>
      <c r="D7" s="25"/>
      <c r="E7" s="26" t="s">
        <v>45</v>
      </c>
      <c r="F7" s="27"/>
      <c r="G7" s="27"/>
      <c r="H7" s="27"/>
      <c r="I7" s="24">
        <f>J7-SUM(F7,G7,H7)</f>
        <v>141670</v>
      </c>
      <c r="J7" s="27">
        <v>141670</v>
      </c>
    </row>
    <row r="8" spans="1:11" ht="16.5" customHeight="1">
      <c r="A8" s="45"/>
      <c r="B8" s="21"/>
      <c r="C8" s="22"/>
      <c r="D8" s="25"/>
      <c r="E8" s="28" t="s">
        <v>41</v>
      </c>
      <c r="F8" s="27">
        <v>113548194</v>
      </c>
      <c r="G8" s="27"/>
      <c r="H8" s="27"/>
      <c r="I8" s="24">
        <f t="shared" ref="I8:I9" si="1">J8-SUM(F8,G8,H8)</f>
        <v>34562979</v>
      </c>
      <c r="J8" s="27">
        <v>148111173</v>
      </c>
    </row>
    <row r="9" spans="1:11" ht="16.5" customHeight="1">
      <c r="A9" s="45"/>
      <c r="B9" s="21"/>
      <c r="C9" s="22"/>
      <c r="D9" s="25"/>
      <c r="E9" s="26" t="s">
        <v>42</v>
      </c>
      <c r="F9" s="27">
        <v>824911</v>
      </c>
      <c r="G9" s="27"/>
      <c r="H9" s="27"/>
      <c r="I9" s="24">
        <f t="shared" si="1"/>
        <v>0</v>
      </c>
      <c r="J9" s="27">
        <v>824911</v>
      </c>
    </row>
    <row r="10" spans="1:11" ht="16.5" customHeight="1">
      <c r="A10" s="45"/>
      <c r="B10" s="21"/>
      <c r="C10" s="22"/>
      <c r="D10" s="25"/>
      <c r="E10" s="29" t="s">
        <v>43</v>
      </c>
      <c r="F10" s="30">
        <v>1419000</v>
      </c>
      <c r="G10" s="30"/>
      <c r="H10" s="30"/>
      <c r="I10" s="31">
        <f>J10-SUM(F10,G10,H10)</f>
        <v>7098100</v>
      </c>
      <c r="J10" s="30">
        <v>8517100</v>
      </c>
    </row>
    <row r="11" spans="1:11" ht="16.5" customHeight="1">
      <c r="A11" s="45"/>
      <c r="B11" s="56" t="s">
        <v>24</v>
      </c>
      <c r="C11" s="32" t="s">
        <v>69</v>
      </c>
      <c r="D11" s="33">
        <f>SUM(J11)</f>
        <v>41296301</v>
      </c>
      <c r="E11" s="55" t="s">
        <v>91</v>
      </c>
      <c r="F11" s="24">
        <f>SUM(F12:F23)</f>
        <v>187400</v>
      </c>
      <c r="G11" s="24">
        <f>SUM(G12:G23)</f>
        <v>2100000</v>
      </c>
      <c r="H11" s="24">
        <f>SUM(H12:H23)</f>
        <v>1873082</v>
      </c>
      <c r="I11" s="24">
        <f>SUM(I12:I23)</f>
        <v>37135819</v>
      </c>
      <c r="J11" s="24">
        <f>SUM(J12:J23)</f>
        <v>41296301</v>
      </c>
      <c r="K11" s="58"/>
    </row>
    <row r="12" spans="1:11" ht="16.5" customHeight="1">
      <c r="A12" s="45"/>
      <c r="B12" s="21"/>
      <c r="C12" s="22"/>
      <c r="D12" s="25"/>
      <c r="E12" s="26" t="s">
        <v>47</v>
      </c>
      <c r="F12" s="27"/>
      <c r="G12" s="27"/>
      <c r="H12" s="27">
        <v>1533000</v>
      </c>
      <c r="I12" s="31">
        <f t="shared" ref="I12:I30" si="2">J12-SUM(F12,G12,H12)</f>
        <v>14163045</v>
      </c>
      <c r="J12" s="27">
        <v>15696045</v>
      </c>
    </row>
    <row r="13" spans="1:11" ht="16.5" customHeight="1">
      <c r="A13" s="45"/>
      <c r="B13" s="21"/>
      <c r="C13" s="22"/>
      <c r="D13" s="25"/>
      <c r="E13" s="26" t="s">
        <v>48</v>
      </c>
      <c r="F13" s="27"/>
      <c r="G13" s="27"/>
      <c r="H13" s="27">
        <v>19008</v>
      </c>
      <c r="I13" s="31">
        <f t="shared" si="2"/>
        <v>171072</v>
      </c>
      <c r="J13" s="27">
        <v>190080</v>
      </c>
    </row>
    <row r="14" spans="1:11" ht="16.5" customHeight="1">
      <c r="A14" s="45"/>
      <c r="B14" s="21"/>
      <c r="C14" s="22"/>
      <c r="D14" s="25"/>
      <c r="E14" s="26" t="s">
        <v>49</v>
      </c>
      <c r="F14" s="27"/>
      <c r="G14" s="27"/>
      <c r="H14" s="27">
        <v>210474</v>
      </c>
      <c r="I14" s="31">
        <f t="shared" si="2"/>
        <v>12725657</v>
      </c>
      <c r="J14" s="27">
        <v>12936131</v>
      </c>
    </row>
    <row r="15" spans="1:11" ht="16.5" customHeight="1">
      <c r="A15" s="45"/>
      <c r="B15" s="21"/>
      <c r="C15" s="22"/>
      <c r="D15" s="25"/>
      <c r="E15" s="26" t="s">
        <v>50</v>
      </c>
      <c r="F15" s="27"/>
      <c r="G15" s="27"/>
      <c r="H15" s="27">
        <v>36600</v>
      </c>
      <c r="I15" s="31">
        <f t="shared" si="2"/>
        <v>6363400</v>
      </c>
      <c r="J15" s="27">
        <v>6400000</v>
      </c>
    </row>
    <row r="16" spans="1:11" ht="16.5" customHeight="1">
      <c r="A16" s="45"/>
      <c r="B16" s="21"/>
      <c r="C16" s="22"/>
      <c r="D16" s="25"/>
      <c r="E16" s="26" t="s">
        <v>51</v>
      </c>
      <c r="F16" s="27"/>
      <c r="G16" s="27"/>
      <c r="H16" s="27"/>
      <c r="I16" s="31">
        <f t="shared" si="2"/>
        <v>534054</v>
      </c>
      <c r="J16" s="27">
        <v>534054</v>
      </c>
    </row>
    <row r="17" spans="1:11" ht="16.5" customHeight="1">
      <c r="A17" s="45"/>
      <c r="B17" s="21"/>
      <c r="C17" s="22"/>
      <c r="D17" s="25"/>
      <c r="E17" s="26" t="s">
        <v>52</v>
      </c>
      <c r="F17" s="27"/>
      <c r="G17" s="27">
        <v>800000</v>
      </c>
      <c r="H17" s="27">
        <v>74000</v>
      </c>
      <c r="I17" s="31">
        <f t="shared" si="2"/>
        <v>8774</v>
      </c>
      <c r="J17" s="27">
        <v>882774</v>
      </c>
    </row>
    <row r="18" spans="1:11" ht="16.5" customHeight="1">
      <c r="A18" s="45"/>
      <c r="B18" s="21"/>
      <c r="C18" s="22"/>
      <c r="D18" s="25"/>
      <c r="E18" s="26" t="s">
        <v>53</v>
      </c>
      <c r="F18" s="27"/>
      <c r="G18" s="27"/>
      <c r="H18" s="27"/>
      <c r="I18" s="31">
        <f t="shared" si="2"/>
        <v>539139</v>
      </c>
      <c r="J18" s="27">
        <v>539139</v>
      </c>
    </row>
    <row r="19" spans="1:11" ht="16.5" customHeight="1">
      <c r="A19" s="45"/>
      <c r="B19" s="21"/>
      <c r="C19" s="22"/>
      <c r="D19" s="25"/>
      <c r="E19" s="26" t="s">
        <v>54</v>
      </c>
      <c r="F19" s="27"/>
      <c r="G19" s="27"/>
      <c r="H19" s="27"/>
      <c r="I19" s="31">
        <f t="shared" si="2"/>
        <v>210000</v>
      </c>
      <c r="J19" s="27">
        <v>210000</v>
      </c>
    </row>
    <row r="20" spans="1:11" ht="16.5" customHeight="1">
      <c r="A20" s="45"/>
      <c r="B20" s="21"/>
      <c r="C20" s="22"/>
      <c r="D20" s="25"/>
      <c r="E20" s="26" t="s">
        <v>55</v>
      </c>
      <c r="F20" s="27">
        <v>178400</v>
      </c>
      <c r="G20" s="27"/>
      <c r="H20" s="27"/>
      <c r="I20" s="31">
        <f t="shared" si="2"/>
        <v>521600</v>
      </c>
      <c r="J20" s="27">
        <v>700000</v>
      </c>
    </row>
    <row r="21" spans="1:11" ht="16.5" customHeight="1">
      <c r="A21" s="45"/>
      <c r="B21" s="21"/>
      <c r="C21" s="22"/>
      <c r="D21" s="25"/>
      <c r="E21" s="26" t="s">
        <v>56</v>
      </c>
      <c r="F21" s="27">
        <v>9000</v>
      </c>
      <c r="G21" s="27"/>
      <c r="H21" s="27"/>
      <c r="I21" s="31">
        <f t="shared" si="2"/>
        <v>5000</v>
      </c>
      <c r="J21" s="27">
        <v>14000</v>
      </c>
    </row>
    <row r="22" spans="1:11" ht="16.5" customHeight="1">
      <c r="A22" s="45"/>
      <c r="B22" s="21"/>
      <c r="C22" s="22"/>
      <c r="D22" s="25"/>
      <c r="E22" s="26" t="s">
        <v>57</v>
      </c>
      <c r="F22" s="27"/>
      <c r="G22" s="27">
        <v>1300000</v>
      </c>
      <c r="H22" s="27"/>
      <c r="I22" s="31">
        <f t="shared" si="2"/>
        <v>60800</v>
      </c>
      <c r="J22" s="27">
        <v>1360800</v>
      </c>
    </row>
    <row r="23" spans="1:11" ht="16.5" customHeight="1">
      <c r="A23" s="45"/>
      <c r="B23" s="21"/>
      <c r="C23" s="22"/>
      <c r="D23" s="25"/>
      <c r="E23" s="29" t="s">
        <v>59</v>
      </c>
      <c r="F23" s="27"/>
      <c r="G23" s="27"/>
      <c r="H23" s="27"/>
      <c r="I23" s="31">
        <f t="shared" si="2"/>
        <v>1833278</v>
      </c>
      <c r="J23" s="27">
        <v>1833278</v>
      </c>
    </row>
    <row r="24" spans="1:11" ht="16.5" customHeight="1">
      <c r="A24" s="45"/>
      <c r="B24" s="56" t="s">
        <v>25</v>
      </c>
      <c r="C24" s="32" t="s">
        <v>70</v>
      </c>
      <c r="D24" s="33">
        <f>SUM(J24)</f>
        <v>80977676</v>
      </c>
      <c r="E24" s="55" t="s">
        <v>91</v>
      </c>
      <c r="F24" s="24">
        <f>SUM(F25:F27)</f>
        <v>33585093</v>
      </c>
      <c r="G24" s="24">
        <f t="shared" ref="G24:H24" si="3">SUM(G25:G27)</f>
        <v>0</v>
      </c>
      <c r="H24" s="24">
        <f t="shared" si="3"/>
        <v>10079300</v>
      </c>
      <c r="I24" s="24">
        <f>SUM(I25:I27)</f>
        <v>37313283</v>
      </c>
      <c r="J24" s="24">
        <f>SUM(J25:J27)</f>
        <v>80977676</v>
      </c>
      <c r="K24" s="58"/>
    </row>
    <row r="25" spans="1:11" ht="16.5" customHeight="1">
      <c r="A25" s="45"/>
      <c r="B25" s="21"/>
      <c r="C25" s="22"/>
      <c r="D25" s="25"/>
      <c r="E25" s="28" t="s">
        <v>60</v>
      </c>
      <c r="F25" s="27">
        <v>24238834</v>
      </c>
      <c r="G25" s="27"/>
      <c r="H25" s="27"/>
      <c r="I25" s="31">
        <f t="shared" si="2"/>
        <v>4449169</v>
      </c>
      <c r="J25" s="27">
        <v>28688003</v>
      </c>
    </row>
    <row r="26" spans="1:11" ht="16.5" customHeight="1">
      <c r="A26" s="45"/>
      <c r="B26" s="21"/>
      <c r="C26" s="22"/>
      <c r="D26" s="25"/>
      <c r="E26" s="28" t="s">
        <v>61</v>
      </c>
      <c r="F26" s="27">
        <v>9346259</v>
      </c>
      <c r="G26" s="27"/>
      <c r="H26" s="27">
        <v>10079300</v>
      </c>
      <c r="I26" s="31">
        <f t="shared" si="2"/>
        <v>32767268</v>
      </c>
      <c r="J26" s="27">
        <v>52192827</v>
      </c>
    </row>
    <row r="27" spans="1:11" ht="16.5" customHeight="1">
      <c r="A27" s="48"/>
      <c r="B27" s="34"/>
      <c r="C27" s="35"/>
      <c r="D27" s="36"/>
      <c r="E27" s="28" t="s">
        <v>62</v>
      </c>
      <c r="F27" s="27"/>
      <c r="G27" s="27"/>
      <c r="H27" s="27"/>
      <c r="I27" s="24">
        <f t="shared" si="2"/>
        <v>96846</v>
      </c>
      <c r="J27" s="27">
        <v>96846</v>
      </c>
    </row>
    <row r="28" spans="1:11" ht="16.5" customHeight="1">
      <c r="A28" s="45" t="s">
        <v>89</v>
      </c>
      <c r="B28" s="49"/>
      <c r="C28" s="50"/>
      <c r="D28" s="44">
        <f>SUM(D29,D31,D33)</f>
        <v>158528690</v>
      </c>
      <c r="E28" s="43" t="s">
        <v>90</v>
      </c>
      <c r="F28" s="44">
        <f t="shared" ref="F28:J28" si="4">SUM(F29,F31,F33)</f>
        <v>27194755</v>
      </c>
      <c r="G28" s="44">
        <f t="shared" si="4"/>
        <v>0</v>
      </c>
      <c r="H28" s="44">
        <f t="shared" si="4"/>
        <v>0</v>
      </c>
      <c r="I28" s="44">
        <f t="shared" si="4"/>
        <v>131333935</v>
      </c>
      <c r="J28" s="44">
        <f t="shared" si="4"/>
        <v>158528690</v>
      </c>
      <c r="K28" s="58"/>
    </row>
    <row r="29" spans="1:11" ht="16.5" customHeight="1">
      <c r="A29" s="45"/>
      <c r="B29" s="56" t="s">
        <v>19</v>
      </c>
      <c r="C29" s="37" t="s">
        <v>31</v>
      </c>
      <c r="D29" s="31">
        <f>SUM(J29)</f>
        <v>29819625</v>
      </c>
      <c r="E29" s="55" t="s">
        <v>91</v>
      </c>
      <c r="F29" s="24">
        <f>SUM(F30)</f>
        <v>15509506</v>
      </c>
      <c r="G29" s="24">
        <f t="shared" ref="G29:J29" si="5">SUM(G30)</f>
        <v>0</v>
      </c>
      <c r="H29" s="24">
        <f t="shared" si="5"/>
        <v>0</v>
      </c>
      <c r="I29" s="24">
        <f t="shared" si="5"/>
        <v>14310119</v>
      </c>
      <c r="J29" s="24">
        <f t="shared" si="5"/>
        <v>29819625</v>
      </c>
      <c r="K29" s="58"/>
    </row>
    <row r="30" spans="1:11" ht="16.5" customHeight="1">
      <c r="A30" s="45"/>
      <c r="B30" s="34"/>
      <c r="C30" s="38"/>
      <c r="D30" s="39"/>
      <c r="E30" s="26" t="s">
        <v>63</v>
      </c>
      <c r="F30" s="27">
        <v>15509506</v>
      </c>
      <c r="G30" s="27"/>
      <c r="H30" s="27"/>
      <c r="I30" s="31">
        <f t="shared" si="2"/>
        <v>14310119</v>
      </c>
      <c r="J30" s="27">
        <v>29819625</v>
      </c>
    </row>
    <row r="31" spans="1:11" ht="16.5" customHeight="1">
      <c r="A31" s="45"/>
      <c r="B31" s="56" t="s">
        <v>20</v>
      </c>
      <c r="C31" s="32" t="s">
        <v>32</v>
      </c>
      <c r="D31" s="31">
        <f>SUM(J31)</f>
        <v>52380151</v>
      </c>
      <c r="E31" s="55" t="s">
        <v>91</v>
      </c>
      <c r="F31" s="24">
        <f>SUM(F32)</f>
        <v>2153700</v>
      </c>
      <c r="G31" s="24">
        <f>SUM(G32)</f>
        <v>0</v>
      </c>
      <c r="H31" s="24">
        <f t="shared" ref="H31:J31" si="6">SUM(H32)</f>
        <v>0</v>
      </c>
      <c r="I31" s="24">
        <f t="shared" si="6"/>
        <v>50226451</v>
      </c>
      <c r="J31" s="24">
        <f t="shared" si="6"/>
        <v>52380151</v>
      </c>
      <c r="K31" s="58"/>
    </row>
    <row r="32" spans="1:11" ht="16.5" customHeight="1">
      <c r="A32" s="45"/>
      <c r="B32" s="34"/>
      <c r="C32" s="35"/>
      <c r="D32" s="36"/>
      <c r="E32" s="26" t="s">
        <v>64</v>
      </c>
      <c r="F32" s="27">
        <v>2153700</v>
      </c>
      <c r="G32" s="27"/>
      <c r="H32" s="27"/>
      <c r="I32" s="31">
        <f t="shared" ref="I32" si="7">J32-SUM(F32,G32,H32)</f>
        <v>50226451</v>
      </c>
      <c r="J32" s="27">
        <v>52380151</v>
      </c>
    </row>
    <row r="33" spans="1:11" ht="16.5" customHeight="1">
      <c r="A33" s="45"/>
      <c r="B33" s="57" t="s">
        <v>21</v>
      </c>
      <c r="C33" s="22" t="s">
        <v>33</v>
      </c>
      <c r="D33" s="23">
        <f>SUM(J33)</f>
        <v>76328914</v>
      </c>
      <c r="E33" s="55" t="s">
        <v>91</v>
      </c>
      <c r="F33" s="24">
        <f>SUM(F34:F35)</f>
        <v>9531549</v>
      </c>
      <c r="G33" s="24">
        <f t="shared" ref="G33:J33" si="8">SUM(G34:G35)</f>
        <v>0</v>
      </c>
      <c r="H33" s="24">
        <f t="shared" si="8"/>
        <v>0</v>
      </c>
      <c r="I33" s="24">
        <f t="shared" si="8"/>
        <v>66797365</v>
      </c>
      <c r="J33" s="24">
        <f t="shared" si="8"/>
        <v>76328914</v>
      </c>
      <c r="K33" s="58"/>
    </row>
    <row r="34" spans="1:11" ht="16.5" customHeight="1">
      <c r="A34" s="45"/>
      <c r="B34" s="21"/>
      <c r="C34" s="22" t="s">
        <v>67</v>
      </c>
      <c r="D34" s="25"/>
      <c r="E34" s="26" t="s">
        <v>65</v>
      </c>
      <c r="F34" s="27"/>
      <c r="G34" s="27"/>
      <c r="H34" s="27"/>
      <c r="I34" s="31">
        <f t="shared" ref="I34:I48" si="9">J34-SUM(F34,G34,H34)</f>
        <v>61153182</v>
      </c>
      <c r="J34" s="27">
        <v>61153182</v>
      </c>
    </row>
    <row r="35" spans="1:11" ht="16.5" customHeight="1">
      <c r="A35" s="48"/>
      <c r="B35" s="34"/>
      <c r="C35" s="35"/>
      <c r="D35" s="36"/>
      <c r="E35" s="26" t="s">
        <v>66</v>
      </c>
      <c r="F35" s="27">
        <v>9531549</v>
      </c>
      <c r="G35" s="27"/>
      <c r="H35" s="27"/>
      <c r="I35" s="24">
        <f t="shared" si="9"/>
        <v>5644183</v>
      </c>
      <c r="J35" s="27">
        <v>15175732</v>
      </c>
    </row>
    <row r="36" spans="1:11" ht="16.5" customHeight="1">
      <c r="A36" s="45" t="s">
        <v>18</v>
      </c>
      <c r="B36" s="51"/>
      <c r="C36" s="50"/>
      <c r="D36" s="44">
        <f>SUM(D37,D41,D44)</f>
        <v>29597574</v>
      </c>
      <c r="E36" s="43" t="s">
        <v>90</v>
      </c>
      <c r="F36" s="44">
        <f t="shared" ref="F36:J36" si="10">SUM(F37,F41,F44)</f>
        <v>2947296</v>
      </c>
      <c r="G36" s="44">
        <f t="shared" si="10"/>
        <v>0</v>
      </c>
      <c r="H36" s="44">
        <f t="shared" si="10"/>
        <v>6065257</v>
      </c>
      <c r="I36" s="44">
        <f t="shared" si="10"/>
        <v>20585021</v>
      </c>
      <c r="J36" s="44">
        <f t="shared" si="10"/>
        <v>29597574</v>
      </c>
      <c r="K36" s="58"/>
    </row>
    <row r="37" spans="1:11" ht="16.5" customHeight="1">
      <c r="A37" s="54"/>
      <c r="B37" s="56" t="s">
        <v>34</v>
      </c>
      <c r="C37" s="32" t="s">
        <v>37</v>
      </c>
      <c r="D37" s="33">
        <f>SUM(J37)</f>
        <v>8871599</v>
      </c>
      <c r="E37" s="55" t="s">
        <v>91</v>
      </c>
      <c r="F37" s="24">
        <f>SUM(F38:F40)</f>
        <v>1994296</v>
      </c>
      <c r="G37" s="24">
        <f t="shared" ref="G37:J37" si="11">SUM(G38:G40)</f>
        <v>0</v>
      </c>
      <c r="H37" s="24">
        <f t="shared" si="11"/>
        <v>192337</v>
      </c>
      <c r="I37" s="24">
        <f t="shared" si="11"/>
        <v>6684966</v>
      </c>
      <c r="J37" s="24">
        <f t="shared" si="11"/>
        <v>8871599</v>
      </c>
      <c r="K37" s="58"/>
    </row>
    <row r="38" spans="1:11" ht="16.5" customHeight="1">
      <c r="A38" s="45"/>
      <c r="B38" s="40"/>
      <c r="C38" s="22" t="s">
        <v>72</v>
      </c>
      <c r="D38" s="25"/>
      <c r="E38" s="28" t="s">
        <v>78</v>
      </c>
      <c r="F38" s="27">
        <v>474000</v>
      </c>
      <c r="G38" s="27"/>
      <c r="H38" s="27">
        <v>12699</v>
      </c>
      <c r="I38" s="31">
        <f t="shared" si="9"/>
        <v>544195</v>
      </c>
      <c r="J38" s="27">
        <v>1030894</v>
      </c>
    </row>
    <row r="39" spans="1:11" ht="16.5" customHeight="1">
      <c r="A39" s="45"/>
      <c r="B39" s="40"/>
      <c r="C39" s="22" t="s">
        <v>73</v>
      </c>
      <c r="D39" s="25"/>
      <c r="E39" s="28" t="s">
        <v>79</v>
      </c>
      <c r="F39" s="27">
        <v>1360000</v>
      </c>
      <c r="G39" s="27"/>
      <c r="H39" s="27">
        <v>25968</v>
      </c>
      <c r="I39" s="31">
        <f t="shared" si="9"/>
        <v>5659613</v>
      </c>
      <c r="J39" s="27">
        <v>7045581</v>
      </c>
    </row>
    <row r="40" spans="1:11" ht="16.5" customHeight="1">
      <c r="A40" s="45"/>
      <c r="B40" s="21"/>
      <c r="C40" s="22"/>
      <c r="D40" s="25"/>
      <c r="E40" s="28" t="s">
        <v>80</v>
      </c>
      <c r="F40" s="27">
        <v>160296</v>
      </c>
      <c r="G40" s="27"/>
      <c r="H40" s="27">
        <v>153670</v>
      </c>
      <c r="I40" s="31">
        <f t="shared" si="9"/>
        <v>481158</v>
      </c>
      <c r="J40" s="27">
        <v>795124</v>
      </c>
    </row>
    <row r="41" spans="1:11" ht="16.5" customHeight="1">
      <c r="A41" s="45"/>
      <c r="B41" s="56" t="s">
        <v>26</v>
      </c>
      <c r="C41" s="32" t="s">
        <v>35</v>
      </c>
      <c r="D41" s="33">
        <f>SUM(J41)</f>
        <v>5753909</v>
      </c>
      <c r="E41" s="55" t="s">
        <v>91</v>
      </c>
      <c r="F41" s="24">
        <f>SUM(F42:F43)</f>
        <v>77686</v>
      </c>
      <c r="G41" s="24">
        <f t="shared" ref="G41:J41" si="12">SUM(G42:G43)</f>
        <v>0</v>
      </c>
      <c r="H41" s="24">
        <f t="shared" si="12"/>
        <v>0</v>
      </c>
      <c r="I41" s="24">
        <f t="shared" si="12"/>
        <v>5676223</v>
      </c>
      <c r="J41" s="24">
        <f t="shared" si="12"/>
        <v>5753909</v>
      </c>
      <c r="K41" s="58"/>
    </row>
    <row r="42" spans="1:11" ht="16.5" customHeight="1">
      <c r="A42" s="45"/>
      <c r="B42" s="21"/>
      <c r="C42" s="22" t="s">
        <v>74</v>
      </c>
      <c r="D42" s="25"/>
      <c r="E42" s="28" t="s">
        <v>81</v>
      </c>
      <c r="F42" s="27"/>
      <c r="G42" s="27"/>
      <c r="H42" s="27"/>
      <c r="I42" s="31">
        <f t="shared" si="9"/>
        <v>313043</v>
      </c>
      <c r="J42" s="27">
        <v>313043</v>
      </c>
    </row>
    <row r="43" spans="1:11" ht="16.5" customHeight="1">
      <c r="A43" s="45"/>
      <c r="B43" s="34"/>
      <c r="C43" s="35"/>
      <c r="D43" s="36"/>
      <c r="E43" s="28" t="s">
        <v>82</v>
      </c>
      <c r="F43" s="27">
        <v>77686</v>
      </c>
      <c r="G43" s="27"/>
      <c r="H43" s="27"/>
      <c r="I43" s="31">
        <f t="shared" si="9"/>
        <v>5363180</v>
      </c>
      <c r="J43" s="27">
        <v>5440866</v>
      </c>
    </row>
    <row r="44" spans="1:11" ht="16.5" customHeight="1">
      <c r="A44" s="45"/>
      <c r="B44" s="57" t="s">
        <v>27</v>
      </c>
      <c r="C44" s="22" t="s">
        <v>36</v>
      </c>
      <c r="D44" s="23">
        <f>SUM(J44)</f>
        <v>14972066</v>
      </c>
      <c r="E44" s="55" t="s">
        <v>91</v>
      </c>
      <c r="F44" s="24">
        <f>SUM(F45:F48)</f>
        <v>875314</v>
      </c>
      <c r="G44" s="24">
        <f t="shared" ref="G44:J44" si="13">SUM(G45:G48)</f>
        <v>0</v>
      </c>
      <c r="H44" s="24">
        <f t="shared" si="13"/>
        <v>5872920</v>
      </c>
      <c r="I44" s="24">
        <f t="shared" si="13"/>
        <v>8223832</v>
      </c>
      <c r="J44" s="24">
        <f t="shared" si="13"/>
        <v>14972066</v>
      </c>
      <c r="K44" s="58"/>
    </row>
    <row r="45" spans="1:11" ht="16.5" customHeight="1">
      <c r="A45" s="45"/>
      <c r="B45" s="21"/>
      <c r="C45" s="22" t="s">
        <v>75</v>
      </c>
      <c r="D45" s="25"/>
      <c r="E45" s="28" t="s">
        <v>83</v>
      </c>
      <c r="F45" s="27">
        <v>4000</v>
      </c>
      <c r="G45" s="27"/>
      <c r="H45" s="27">
        <v>583300</v>
      </c>
      <c r="I45" s="31">
        <f t="shared" si="9"/>
        <v>2740299</v>
      </c>
      <c r="J45" s="27">
        <v>3327599</v>
      </c>
    </row>
    <row r="46" spans="1:11" ht="16.5" customHeight="1">
      <c r="A46" s="45"/>
      <c r="B46" s="21"/>
      <c r="C46" s="22" t="s">
        <v>76</v>
      </c>
      <c r="D46" s="25"/>
      <c r="E46" s="28" t="s">
        <v>84</v>
      </c>
      <c r="F46" s="27"/>
      <c r="G46" s="27"/>
      <c r="H46" s="27"/>
      <c r="I46" s="31">
        <f t="shared" si="9"/>
        <v>2769830</v>
      </c>
      <c r="J46" s="27">
        <v>2769830</v>
      </c>
    </row>
    <row r="47" spans="1:11" ht="16.5" customHeight="1">
      <c r="A47" s="45"/>
      <c r="B47" s="21"/>
      <c r="C47" s="22" t="s">
        <v>77</v>
      </c>
      <c r="D47" s="25"/>
      <c r="E47" s="28" t="s">
        <v>85</v>
      </c>
      <c r="F47" s="27">
        <v>871314</v>
      </c>
      <c r="G47" s="27"/>
      <c r="H47" s="27">
        <v>5189620</v>
      </c>
      <c r="I47" s="31">
        <f t="shared" si="9"/>
        <v>2114917</v>
      </c>
      <c r="J47" s="27">
        <v>8175851</v>
      </c>
    </row>
    <row r="48" spans="1:11" ht="16.5" customHeight="1">
      <c r="A48" s="48"/>
      <c r="B48" s="34"/>
      <c r="C48" s="35"/>
      <c r="D48" s="36"/>
      <c r="E48" s="28" t="s">
        <v>86</v>
      </c>
      <c r="F48" s="27"/>
      <c r="G48" s="27"/>
      <c r="H48" s="27">
        <v>100000</v>
      </c>
      <c r="I48" s="24">
        <f t="shared" si="9"/>
        <v>598786</v>
      </c>
      <c r="J48" s="27">
        <v>698786</v>
      </c>
    </row>
    <row r="49" spans="1:11" ht="16.5" customHeight="1">
      <c r="A49" s="164" t="s">
        <v>92</v>
      </c>
      <c r="B49" s="164"/>
      <c r="C49" s="164"/>
      <c r="D49" s="52">
        <f>SUM(D4,D28,D36)</f>
        <v>473070966</v>
      </c>
      <c r="E49" s="53"/>
      <c r="F49" s="52">
        <f>SUM(F4,F28,F36)</f>
        <v>181997649</v>
      </c>
      <c r="G49" s="52">
        <f>SUM(G4,G28,G36)</f>
        <v>2100000</v>
      </c>
      <c r="H49" s="52">
        <f>SUM(H4,H28,H36)</f>
        <v>18398739</v>
      </c>
      <c r="I49" s="52">
        <f>SUM(I4,I28,I36)</f>
        <v>270574578</v>
      </c>
      <c r="J49" s="52">
        <f>SUM(J4,J28,J36)</f>
        <v>473070966</v>
      </c>
      <c r="K49" s="58"/>
    </row>
  </sheetData>
  <mergeCells count="1">
    <mergeCell ref="A49:C49"/>
  </mergeCells>
  <phoneticPr fontId="2"/>
  <pageMargins left="0.7" right="0.7" top="0.75" bottom="0.75" header="0.3" footer="0.3"/>
  <pageSetup paperSize="9" scale="63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27"/>
  <sheetViews>
    <sheetView showGridLines="0" view="pageBreakPreview" topLeftCell="B1" zoomScale="60" zoomScaleNormal="70" workbookViewId="0">
      <selection activeCell="E13" sqref="E13"/>
    </sheetView>
  </sheetViews>
  <sheetFormatPr defaultRowHeight="29.25" customHeight="1"/>
  <cols>
    <col min="1" max="1" width="9.625" style="11" customWidth="1"/>
    <col min="2" max="8" width="19.25" style="1" customWidth="1"/>
    <col min="9" max="9" width="26.625" style="1" customWidth="1"/>
    <col min="10" max="10" width="19.25" style="1" customWidth="1"/>
    <col min="11" max="12" width="5.25" style="1" customWidth="1"/>
    <col min="13" max="15" width="15.75" style="1" customWidth="1"/>
    <col min="16" max="16" width="21.5" style="1" customWidth="1"/>
    <col min="17" max="16384" width="9" style="1"/>
  </cols>
  <sheetData>
    <row r="1" spans="1:16" ht="23.25" customHeight="1">
      <c r="B1" s="162" t="s">
        <v>97</v>
      </c>
      <c r="C1" s="162"/>
      <c r="D1" s="162"/>
      <c r="E1" s="162"/>
      <c r="F1" s="162"/>
      <c r="G1" s="162"/>
      <c r="H1" s="162"/>
      <c r="I1" s="162"/>
      <c r="J1" s="162"/>
    </row>
    <row r="2" spans="1:16" ht="23.25" customHeight="1">
      <c r="A2" s="12"/>
      <c r="B2" s="162"/>
      <c r="C2" s="162"/>
      <c r="D2" s="162"/>
      <c r="E2" s="162"/>
      <c r="F2" s="162"/>
      <c r="G2" s="162"/>
      <c r="H2" s="162"/>
      <c r="I2" s="162"/>
      <c r="J2" s="162"/>
    </row>
    <row r="3" spans="1:16" ht="23.25" customHeight="1"/>
    <row r="4" spans="1:16" s="7" customFormat="1" ht="23.25" customHeight="1">
      <c r="A4" s="11"/>
      <c r="B4" s="5" t="s">
        <v>0</v>
      </c>
      <c r="C4" s="6" t="s">
        <v>1</v>
      </c>
      <c r="D4" s="6"/>
      <c r="E4" s="6"/>
      <c r="F4" s="6"/>
      <c r="I4" s="4">
        <v>24288</v>
      </c>
    </row>
    <row r="5" spans="1:16" ht="23.25" customHeight="1">
      <c r="B5" s="2"/>
      <c r="C5" s="3"/>
      <c r="D5" s="3"/>
      <c r="E5" s="3"/>
      <c r="F5" s="3"/>
    </row>
    <row r="6" spans="1:16" s="7" customFormat="1" ht="23.25" customHeight="1">
      <c r="A6" s="11"/>
      <c r="B6" s="5" t="s">
        <v>2</v>
      </c>
      <c r="C6" s="6" t="s">
        <v>3</v>
      </c>
      <c r="D6" s="6"/>
      <c r="E6" s="6"/>
      <c r="F6" s="6"/>
      <c r="I6" s="4">
        <v>480861</v>
      </c>
    </row>
    <row r="7" spans="1:16" ht="23.25" customHeight="1"/>
    <row r="8" spans="1:16" ht="29.25" customHeight="1">
      <c r="B8" s="7" t="s">
        <v>4</v>
      </c>
      <c r="J8" s="8" t="s">
        <v>14</v>
      </c>
    </row>
    <row r="9" spans="1:16" s="7" customFormat="1" ht="29.25" customHeight="1">
      <c r="A9" s="11"/>
      <c r="B9" s="160" t="s">
        <v>5</v>
      </c>
      <c r="C9" s="160" t="s">
        <v>6</v>
      </c>
      <c r="D9" s="160"/>
      <c r="E9" s="163" t="s">
        <v>98</v>
      </c>
      <c r="F9" s="160" t="s">
        <v>13</v>
      </c>
      <c r="G9" s="160"/>
      <c r="H9" s="160"/>
      <c r="I9" s="160"/>
      <c r="J9" s="160"/>
    </row>
    <row r="10" spans="1:16" s="7" customFormat="1" ht="29.25" customHeight="1">
      <c r="A10" s="11"/>
      <c r="B10" s="160"/>
      <c r="C10" s="160"/>
      <c r="D10" s="160"/>
      <c r="E10" s="160"/>
      <c r="F10" s="160" t="s">
        <v>10</v>
      </c>
      <c r="G10" s="160"/>
      <c r="H10" s="160"/>
      <c r="I10" s="160" t="s">
        <v>11</v>
      </c>
      <c r="J10" s="160"/>
    </row>
    <row r="11" spans="1:16" s="7" customFormat="1" ht="41.25" customHeight="1">
      <c r="A11" s="11"/>
      <c r="B11" s="160"/>
      <c r="C11" s="160"/>
      <c r="D11" s="160"/>
      <c r="E11" s="160"/>
      <c r="F11" s="63" t="s">
        <v>7</v>
      </c>
      <c r="G11" s="63" t="s">
        <v>8</v>
      </c>
      <c r="H11" s="63" t="s">
        <v>9</v>
      </c>
      <c r="I11" s="61" t="s">
        <v>12</v>
      </c>
      <c r="J11" s="63" t="s">
        <v>9</v>
      </c>
      <c r="M11" s="10" t="s">
        <v>29</v>
      </c>
      <c r="N11" s="10" t="s">
        <v>29</v>
      </c>
    </row>
    <row r="12" spans="1:16" s="7" customFormat="1" ht="29.25" customHeight="1">
      <c r="A12" s="11"/>
      <c r="B12" s="160" t="s">
        <v>16</v>
      </c>
      <c r="C12" s="161" t="s">
        <v>28</v>
      </c>
      <c r="D12" s="161"/>
      <c r="E12" s="59">
        <v>160107</v>
      </c>
      <c r="F12" s="59">
        <v>118487</v>
      </c>
      <c r="G12" s="59">
        <v>0</v>
      </c>
      <c r="H12" s="59">
        <v>771</v>
      </c>
      <c r="I12" s="60">
        <f>ROUND(I24/M24*M12,0)</f>
        <v>3841</v>
      </c>
      <c r="J12" s="59">
        <f>E12-(F12+G12+H12+I12)</f>
        <v>37008</v>
      </c>
      <c r="M12" s="9">
        <f>E12-(SUM(F12,G12,H12))</f>
        <v>40849</v>
      </c>
      <c r="N12" s="9">
        <f>I12+J12</f>
        <v>40849</v>
      </c>
      <c r="O12" s="9">
        <f>M12-N12</f>
        <v>0</v>
      </c>
      <c r="P12" s="7">
        <f>M12/M24*I24</f>
        <v>3840.8462291870715</v>
      </c>
    </row>
    <row r="13" spans="1:16" s="7" customFormat="1" ht="29.25" customHeight="1">
      <c r="A13" s="11"/>
      <c r="B13" s="160"/>
      <c r="C13" s="161" t="s">
        <v>24</v>
      </c>
      <c r="D13" s="161"/>
      <c r="E13" s="59">
        <v>43231</v>
      </c>
      <c r="F13" s="59">
        <v>229</v>
      </c>
      <c r="G13" s="59">
        <v>2200</v>
      </c>
      <c r="H13" s="59">
        <v>1384</v>
      </c>
      <c r="I13" s="60">
        <f>ROUND(I24/M24*M13,0)</f>
        <v>3706</v>
      </c>
      <c r="J13" s="59">
        <f>E13-(F13+G13+H13+I13)</f>
        <v>35712</v>
      </c>
      <c r="M13" s="9">
        <f t="shared" ref="M13:M23" si="0">E13-(SUM(F13,G13,H13))</f>
        <v>39418</v>
      </c>
      <c r="N13" s="9">
        <f t="shared" ref="N13:N23" si="1">I13+J13</f>
        <v>39418</v>
      </c>
      <c r="O13" s="9">
        <f t="shared" ref="O13:O24" si="2">M13-N13</f>
        <v>0</v>
      </c>
      <c r="P13" s="7">
        <f>M13/M24*I24</f>
        <v>3706.2957884427028</v>
      </c>
    </row>
    <row r="14" spans="1:16" s="7" customFormat="1" ht="29.25" customHeight="1">
      <c r="A14" s="11"/>
      <c r="B14" s="160"/>
      <c r="C14" s="161" t="s">
        <v>25</v>
      </c>
      <c r="D14" s="161"/>
      <c r="E14" s="59">
        <v>96434</v>
      </c>
      <c r="F14" s="59">
        <v>34222</v>
      </c>
      <c r="G14" s="59">
        <v>0</v>
      </c>
      <c r="H14" s="59">
        <v>29657</v>
      </c>
      <c r="I14" s="60">
        <f>ROUND(I24/M24*M14,0)</f>
        <v>3061</v>
      </c>
      <c r="J14" s="59">
        <f t="shared" ref="J14" si="3">E14-(F14+G14+H14+I14)</f>
        <v>29494</v>
      </c>
      <c r="M14" s="9">
        <f t="shared" si="0"/>
        <v>32555</v>
      </c>
      <c r="N14" s="9">
        <f t="shared" si="1"/>
        <v>32555</v>
      </c>
      <c r="O14" s="9">
        <f t="shared" si="2"/>
        <v>0</v>
      </c>
      <c r="P14" s="7">
        <f>M14/M24*I24</f>
        <v>3060.9990205680706</v>
      </c>
    </row>
    <row r="15" spans="1:16" s="7" customFormat="1" ht="29.25" customHeight="1">
      <c r="A15" s="11"/>
      <c r="B15" s="160"/>
      <c r="C15" s="160" t="s">
        <v>22</v>
      </c>
      <c r="D15" s="160"/>
      <c r="E15" s="59">
        <f t="shared" ref="E15:I15" si="4">SUM(E12:E14)</f>
        <v>299772</v>
      </c>
      <c r="F15" s="59">
        <f t="shared" si="4"/>
        <v>152938</v>
      </c>
      <c r="G15" s="59">
        <f t="shared" si="4"/>
        <v>2200</v>
      </c>
      <c r="H15" s="59">
        <f t="shared" si="4"/>
        <v>31812</v>
      </c>
      <c r="I15" s="60">
        <f t="shared" si="4"/>
        <v>10608</v>
      </c>
      <c r="J15" s="59">
        <f>SUM(J12:J14)</f>
        <v>102214</v>
      </c>
      <c r="M15" s="9">
        <f t="shared" si="0"/>
        <v>112822</v>
      </c>
      <c r="N15" s="9">
        <f t="shared" si="1"/>
        <v>112822</v>
      </c>
      <c r="O15" s="9">
        <f t="shared" si="2"/>
        <v>0</v>
      </c>
      <c r="P15" s="7">
        <f>M15/M24*I24</f>
        <v>10608.141038197846</v>
      </c>
    </row>
    <row r="16" spans="1:16" s="7" customFormat="1" ht="29.25" customHeight="1">
      <c r="A16" s="11"/>
      <c r="B16" s="160" t="s">
        <v>17</v>
      </c>
      <c r="C16" s="161" t="s">
        <v>19</v>
      </c>
      <c r="D16" s="161"/>
      <c r="E16" s="59">
        <v>34035</v>
      </c>
      <c r="F16" s="59">
        <v>17183</v>
      </c>
      <c r="G16" s="59">
        <v>0</v>
      </c>
      <c r="H16" s="59">
        <v>0</v>
      </c>
      <c r="I16" s="60">
        <f>ROUND(I24/M24*M16,0)-1</f>
        <v>1584</v>
      </c>
      <c r="J16" s="59">
        <f>E16-(F16+G16+H16+I16)</f>
        <v>15268</v>
      </c>
      <c r="M16" s="9">
        <f t="shared" si="0"/>
        <v>16852</v>
      </c>
      <c r="N16" s="9">
        <f t="shared" si="1"/>
        <v>16852</v>
      </c>
      <c r="O16" s="9">
        <f t="shared" si="2"/>
        <v>0</v>
      </c>
      <c r="P16" s="7">
        <f>M16/M24*I24</f>
        <v>1584.517140058766</v>
      </c>
    </row>
    <row r="17" spans="1:16" s="7" customFormat="1" ht="29.25" customHeight="1">
      <c r="A17" s="11"/>
      <c r="B17" s="160"/>
      <c r="C17" s="161" t="s">
        <v>20</v>
      </c>
      <c r="D17" s="161"/>
      <c r="E17" s="59">
        <v>46807</v>
      </c>
      <c r="F17" s="59">
        <v>633</v>
      </c>
      <c r="G17" s="59">
        <v>0</v>
      </c>
      <c r="H17" s="59">
        <v>0</v>
      </c>
      <c r="I17" s="60">
        <f>ROUND(I24/M24*M17,0)</f>
        <v>4342</v>
      </c>
      <c r="J17" s="59">
        <f t="shared" ref="J17:J18" si="5">E17-(F17+G17+H17+I17)</f>
        <v>41832</v>
      </c>
      <c r="M17" s="9">
        <f t="shared" si="0"/>
        <v>46174</v>
      </c>
      <c r="N17" s="9">
        <f t="shared" si="1"/>
        <v>46174</v>
      </c>
      <c r="O17" s="9">
        <f t="shared" si="2"/>
        <v>0</v>
      </c>
      <c r="P17" s="7">
        <f>M17/M24*I24</f>
        <v>4341.5318315377081</v>
      </c>
    </row>
    <row r="18" spans="1:16" s="7" customFormat="1" ht="29.25" customHeight="1">
      <c r="A18" s="11"/>
      <c r="B18" s="160"/>
      <c r="C18" s="161" t="s">
        <v>21</v>
      </c>
      <c r="D18" s="161"/>
      <c r="E18" s="59">
        <v>69320</v>
      </c>
      <c r="F18" s="59">
        <v>9830</v>
      </c>
      <c r="G18" s="59">
        <v>0</v>
      </c>
      <c r="H18" s="59">
        <v>0</v>
      </c>
      <c r="I18" s="60">
        <f>ROUND(I24/M24*M18,0)</f>
        <v>5594</v>
      </c>
      <c r="J18" s="59">
        <f t="shared" si="5"/>
        <v>53896</v>
      </c>
      <c r="M18" s="9">
        <f t="shared" si="0"/>
        <v>59490</v>
      </c>
      <c r="N18" s="9">
        <f t="shared" si="1"/>
        <v>59490</v>
      </c>
      <c r="O18" s="9">
        <f t="shared" si="2"/>
        <v>0</v>
      </c>
      <c r="P18" s="7">
        <f>M18/M24*I24</f>
        <v>5593.5749265426057</v>
      </c>
    </row>
    <row r="19" spans="1:16" s="7" customFormat="1" ht="29.25" customHeight="1">
      <c r="A19" s="11"/>
      <c r="B19" s="160"/>
      <c r="C19" s="160" t="s">
        <v>22</v>
      </c>
      <c r="D19" s="160"/>
      <c r="E19" s="59">
        <f>SUM(E16:E18)</f>
        <v>150162</v>
      </c>
      <c r="F19" s="59">
        <f t="shared" ref="F19:H19" si="6">SUM(F16:F18)</f>
        <v>27646</v>
      </c>
      <c r="G19" s="59">
        <f t="shared" si="6"/>
        <v>0</v>
      </c>
      <c r="H19" s="59">
        <f t="shared" si="6"/>
        <v>0</v>
      </c>
      <c r="I19" s="60">
        <f>SUM(I16:I18)</f>
        <v>11520</v>
      </c>
      <c r="J19" s="59">
        <f>SUM(J16:J18)</f>
        <v>110996</v>
      </c>
      <c r="M19" s="9">
        <f t="shared" si="0"/>
        <v>122516</v>
      </c>
      <c r="N19" s="9">
        <f t="shared" si="1"/>
        <v>122516</v>
      </c>
      <c r="O19" s="9">
        <f t="shared" si="2"/>
        <v>0</v>
      </c>
      <c r="P19" s="7">
        <f>M19/M24*I24</f>
        <v>11519.62389813908</v>
      </c>
    </row>
    <row r="20" spans="1:16" s="7" customFormat="1" ht="29.25" customHeight="1">
      <c r="A20" s="11"/>
      <c r="B20" s="160" t="s">
        <v>18</v>
      </c>
      <c r="C20" s="161" t="s">
        <v>23</v>
      </c>
      <c r="D20" s="161"/>
      <c r="E20" s="59">
        <v>7323</v>
      </c>
      <c r="F20" s="59">
        <v>1482</v>
      </c>
      <c r="G20" s="59">
        <v>0</v>
      </c>
      <c r="H20" s="59">
        <v>287</v>
      </c>
      <c r="I20" s="60">
        <f>ROUND(I24/M24*M20,0)</f>
        <v>522</v>
      </c>
      <c r="J20" s="59">
        <f>E20-(F20+G20+H20+I20)</f>
        <v>5032</v>
      </c>
      <c r="M20" s="9">
        <f t="shared" si="0"/>
        <v>5554</v>
      </c>
      <c r="N20" s="9">
        <f t="shared" si="1"/>
        <v>5554</v>
      </c>
      <c r="O20" s="9">
        <f t="shared" si="2"/>
        <v>0</v>
      </c>
      <c r="P20" s="7">
        <f>M20/M24*I24</f>
        <v>522.21743388834477</v>
      </c>
    </row>
    <row r="21" spans="1:16" s="7" customFormat="1" ht="29.25" customHeight="1">
      <c r="A21" s="11"/>
      <c r="B21" s="160"/>
      <c r="C21" s="161" t="s">
        <v>26</v>
      </c>
      <c r="D21" s="161"/>
      <c r="E21" s="59">
        <v>7279</v>
      </c>
      <c r="F21" s="59">
        <v>0</v>
      </c>
      <c r="G21" s="59">
        <v>0</v>
      </c>
      <c r="H21" s="59">
        <v>0</v>
      </c>
      <c r="I21" s="60">
        <f>ROUND(I24/M24*M21,0)</f>
        <v>684</v>
      </c>
      <c r="J21" s="59">
        <f>E21-(F21+G21+H21+I21)</f>
        <v>6595</v>
      </c>
      <c r="M21" s="9">
        <f t="shared" si="0"/>
        <v>7279</v>
      </c>
      <c r="N21" s="9">
        <f t="shared" si="1"/>
        <v>7279</v>
      </c>
      <c r="O21" s="9">
        <f t="shared" si="2"/>
        <v>0</v>
      </c>
      <c r="P21" s="7">
        <f>M21/M24*I24</f>
        <v>684.41136141038203</v>
      </c>
    </row>
    <row r="22" spans="1:16" s="7" customFormat="1" ht="29.25" customHeight="1">
      <c r="A22" s="11"/>
      <c r="B22" s="160"/>
      <c r="C22" s="161" t="s">
        <v>27</v>
      </c>
      <c r="D22" s="161"/>
      <c r="E22" s="59">
        <v>16325</v>
      </c>
      <c r="F22" s="59">
        <v>270</v>
      </c>
      <c r="G22" s="59">
        <v>0</v>
      </c>
      <c r="H22" s="59">
        <v>5913</v>
      </c>
      <c r="I22" s="60">
        <f>ROUND(I24/M24*M22,0)</f>
        <v>954</v>
      </c>
      <c r="J22" s="59">
        <f t="shared" ref="J22" si="7">E22-(F22+G22+H22+I22)</f>
        <v>9188</v>
      </c>
      <c r="M22" s="9">
        <f t="shared" si="0"/>
        <v>10142</v>
      </c>
      <c r="N22" s="9">
        <f t="shared" si="1"/>
        <v>10142</v>
      </c>
      <c r="O22" s="9">
        <f t="shared" si="2"/>
        <v>0</v>
      </c>
      <c r="P22" s="7">
        <f>M22/M24*I24</f>
        <v>953.60626836434869</v>
      </c>
    </row>
    <row r="23" spans="1:16" s="7" customFormat="1" ht="29.25" customHeight="1">
      <c r="A23" s="11"/>
      <c r="B23" s="160"/>
      <c r="C23" s="160" t="s">
        <v>22</v>
      </c>
      <c r="D23" s="160"/>
      <c r="E23" s="59">
        <f>SUM(E20:E22)</f>
        <v>30927</v>
      </c>
      <c r="F23" s="59">
        <f t="shared" ref="F23:I23" si="8">SUM(F20:F22)</f>
        <v>1752</v>
      </c>
      <c r="G23" s="59">
        <f t="shared" si="8"/>
        <v>0</v>
      </c>
      <c r="H23" s="59">
        <f t="shared" si="8"/>
        <v>6200</v>
      </c>
      <c r="I23" s="60">
        <f t="shared" si="8"/>
        <v>2160</v>
      </c>
      <c r="J23" s="59">
        <f>SUM(J20:J22)</f>
        <v>20815</v>
      </c>
      <c r="M23" s="9">
        <f t="shared" si="0"/>
        <v>22975</v>
      </c>
      <c r="N23" s="9">
        <f t="shared" si="1"/>
        <v>22975</v>
      </c>
      <c r="O23" s="9">
        <f t="shared" si="2"/>
        <v>0</v>
      </c>
      <c r="P23" s="7">
        <f>M23/M24*I24</f>
        <v>2160.2350636630754</v>
      </c>
    </row>
    <row r="24" spans="1:16" s="7" customFormat="1" ht="29.25" customHeight="1">
      <c r="A24" s="11"/>
      <c r="B24" s="160" t="s">
        <v>15</v>
      </c>
      <c r="C24" s="160"/>
      <c r="D24" s="160"/>
      <c r="E24" s="59">
        <f>SUM(E23,E19,E15)</f>
        <v>480861</v>
      </c>
      <c r="F24" s="59">
        <f t="shared" ref="F24:H24" si="9">SUM(F23,F19,F15)</f>
        <v>182336</v>
      </c>
      <c r="G24" s="59">
        <f t="shared" si="9"/>
        <v>2200</v>
      </c>
      <c r="H24" s="59">
        <f t="shared" si="9"/>
        <v>38012</v>
      </c>
      <c r="I24" s="60">
        <f>I4</f>
        <v>24288</v>
      </c>
      <c r="J24" s="59">
        <f>SUM(J23,J19,J15)</f>
        <v>234025</v>
      </c>
      <c r="M24" s="9">
        <f>E24-(SUM(F24,G24,H24))</f>
        <v>258313</v>
      </c>
      <c r="N24" s="9">
        <f>I24+J24</f>
        <v>258313</v>
      </c>
      <c r="O24" s="9">
        <f t="shared" si="2"/>
        <v>0</v>
      </c>
      <c r="P24" s="7">
        <f>M24/M24*I24</f>
        <v>24288</v>
      </c>
    </row>
    <row r="25" spans="1:16" ht="29.25" customHeight="1">
      <c r="B25" s="7" t="s">
        <v>30</v>
      </c>
    </row>
    <row r="26" spans="1:16" ht="21.75" customHeight="1">
      <c r="I26" s="9"/>
      <c r="J26" s="9"/>
    </row>
    <row r="27" spans="1:16" ht="21.75" customHeight="1"/>
  </sheetData>
  <mergeCells count="23">
    <mergeCell ref="B24:D24"/>
    <mergeCell ref="B12:B15"/>
    <mergeCell ref="C12:D12"/>
    <mergeCell ref="C13:D13"/>
    <mergeCell ref="C14:D14"/>
    <mergeCell ref="C15:D15"/>
    <mergeCell ref="B16:B19"/>
    <mergeCell ref="C16:D16"/>
    <mergeCell ref="C17:D17"/>
    <mergeCell ref="C18:D18"/>
    <mergeCell ref="C19:D19"/>
    <mergeCell ref="B20:B23"/>
    <mergeCell ref="C20:D20"/>
    <mergeCell ref="C21:D21"/>
    <mergeCell ref="C22:D22"/>
    <mergeCell ref="C23:D23"/>
    <mergeCell ref="B1:J2"/>
    <mergeCell ref="B9:B11"/>
    <mergeCell ref="C9:D11"/>
    <mergeCell ref="E9:E11"/>
    <mergeCell ref="F9:J9"/>
    <mergeCell ref="F10:H10"/>
    <mergeCell ref="I10:J10"/>
  </mergeCells>
  <phoneticPr fontId="2"/>
  <pageMargins left="0.19685039370078741" right="0.70866141732283472" top="0.74803149606299213" bottom="0.74803149606299213" header="0.31496062992125984" footer="0.31496062992125984"/>
  <pageSetup paperSize="9" scale="72" fitToHeight="0" orientation="landscape" r:id="rId1"/>
  <drawing r:id="rId2"/>
  <legacy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topLeftCell="C1" zoomScale="80" zoomScaleNormal="80" workbookViewId="0">
      <selection activeCell="E12" sqref="E12"/>
    </sheetView>
  </sheetViews>
  <sheetFormatPr defaultRowHeight="16.5" customHeight="1"/>
  <cols>
    <col min="1" max="1" width="10.75" style="1" customWidth="1"/>
    <col min="2" max="2" width="22.875" style="1" customWidth="1"/>
    <col min="3" max="3" width="47.375" style="14" customWidth="1"/>
    <col min="4" max="4" width="13.75" style="15" customWidth="1"/>
    <col min="5" max="5" width="42.375" style="1" customWidth="1"/>
    <col min="6" max="9" width="13.5" style="15" customWidth="1"/>
    <col min="10" max="10" width="15.75" style="15" customWidth="1"/>
    <col min="11" max="16384" width="9" style="1"/>
  </cols>
  <sheetData>
    <row r="1" spans="1:11" ht="16.5" customHeight="1">
      <c r="A1" s="13" t="s">
        <v>96</v>
      </c>
    </row>
    <row r="2" spans="1:11" ht="16.5" customHeight="1">
      <c r="J2" s="16" t="s">
        <v>87</v>
      </c>
    </row>
    <row r="3" spans="1:11" ht="16.5" customHeight="1">
      <c r="A3" s="17" t="s">
        <v>5</v>
      </c>
      <c r="B3" s="17" t="s">
        <v>6</v>
      </c>
      <c r="C3" s="18" t="s">
        <v>71</v>
      </c>
      <c r="D3" s="19" t="s">
        <v>46</v>
      </c>
      <c r="E3" s="17" t="s">
        <v>6</v>
      </c>
      <c r="F3" s="19" t="s">
        <v>7</v>
      </c>
      <c r="G3" s="19" t="s">
        <v>8</v>
      </c>
      <c r="H3" s="19" t="s">
        <v>9</v>
      </c>
      <c r="I3" s="19" t="s">
        <v>11</v>
      </c>
      <c r="J3" s="20" t="s">
        <v>44</v>
      </c>
    </row>
    <row r="4" spans="1:11" ht="16.5" customHeight="1">
      <c r="A4" s="45" t="s">
        <v>16</v>
      </c>
      <c r="B4" s="46"/>
      <c r="C4" s="47"/>
      <c r="D4" s="42">
        <f>SUM(D5,D11,D24)</f>
        <v>299772363</v>
      </c>
      <c r="E4" s="43" t="s">
        <v>90</v>
      </c>
      <c r="F4" s="42">
        <f>SUM(F5,F11,F24)</f>
        <v>152938182</v>
      </c>
      <c r="G4" s="42">
        <f>SUM(G5,G11,G24)</f>
        <v>2200000</v>
      </c>
      <c r="H4" s="42">
        <f>SUM(H5,H11,H24)</f>
        <v>31811476</v>
      </c>
      <c r="I4" s="42">
        <f>SUM(I5,I11,I24)</f>
        <v>112822705</v>
      </c>
      <c r="J4" s="42">
        <f>SUM(J5,J11,J24)</f>
        <v>299772363</v>
      </c>
      <c r="K4" s="58"/>
    </row>
    <row r="5" spans="1:11" ht="16.5" customHeight="1">
      <c r="A5" s="45"/>
      <c r="B5" s="56" t="s">
        <v>28</v>
      </c>
      <c r="C5" s="32" t="s">
        <v>68</v>
      </c>
      <c r="D5" s="33">
        <f>SUM(J5)</f>
        <v>160106900</v>
      </c>
      <c r="E5" s="55" t="s">
        <v>91</v>
      </c>
      <c r="F5" s="24">
        <f>SUM(F6:F10)</f>
        <v>118486641</v>
      </c>
      <c r="G5" s="24">
        <f>SUM(G6:G10)</f>
        <v>0</v>
      </c>
      <c r="H5" s="24">
        <f>SUM(H6:H10)</f>
        <v>771210</v>
      </c>
      <c r="I5" s="24">
        <f t="shared" ref="I5:J5" si="0">SUM(I6:I10)</f>
        <v>40849049</v>
      </c>
      <c r="J5" s="24">
        <f t="shared" si="0"/>
        <v>160106900</v>
      </c>
      <c r="K5" s="58"/>
    </row>
    <row r="6" spans="1:11" ht="16.5" customHeight="1">
      <c r="A6" s="45"/>
      <c r="B6" s="21"/>
      <c r="C6" s="22"/>
      <c r="D6" s="25"/>
      <c r="E6" s="26" t="s">
        <v>40</v>
      </c>
      <c r="F6" s="27">
        <v>2335000</v>
      </c>
      <c r="G6" s="27"/>
      <c r="H6" s="27">
        <v>771210</v>
      </c>
      <c r="I6" s="24">
        <f>J6-SUM(F6,G6,H6)</f>
        <v>2319199</v>
      </c>
      <c r="J6" s="27">
        <v>5425409</v>
      </c>
    </row>
    <row r="7" spans="1:11" ht="16.5" customHeight="1">
      <c r="A7" s="45"/>
      <c r="B7" s="21"/>
      <c r="C7" s="22"/>
      <c r="D7" s="25"/>
      <c r="E7" s="26" t="s">
        <v>45</v>
      </c>
      <c r="F7" s="27"/>
      <c r="G7" s="27"/>
      <c r="H7" s="27"/>
      <c r="I7" s="24">
        <f>J7-SUM(F7,G7,H7)</f>
        <v>176434</v>
      </c>
      <c r="J7" s="27">
        <v>176434</v>
      </c>
    </row>
    <row r="8" spans="1:11" ht="16.5" customHeight="1">
      <c r="A8" s="45"/>
      <c r="B8" s="21"/>
      <c r="C8" s="22"/>
      <c r="D8" s="25"/>
      <c r="E8" s="28" t="s">
        <v>41</v>
      </c>
      <c r="F8" s="27">
        <v>113850000</v>
      </c>
      <c r="G8" s="27"/>
      <c r="H8" s="27"/>
      <c r="I8" s="24">
        <f t="shared" ref="I8:I9" si="1">J8-SUM(F8,G8,H8)</f>
        <v>31037806</v>
      </c>
      <c r="J8" s="27">
        <v>144887806</v>
      </c>
    </row>
    <row r="9" spans="1:11" ht="16.5" customHeight="1">
      <c r="A9" s="45"/>
      <c r="B9" s="21"/>
      <c r="C9" s="22"/>
      <c r="D9" s="25"/>
      <c r="E9" s="26" t="s">
        <v>42</v>
      </c>
      <c r="F9" s="27">
        <v>871641</v>
      </c>
      <c r="G9" s="27"/>
      <c r="H9" s="27"/>
      <c r="I9" s="24">
        <f t="shared" si="1"/>
        <v>0</v>
      </c>
      <c r="J9" s="27">
        <v>871641</v>
      </c>
    </row>
    <row r="10" spans="1:11" ht="16.5" customHeight="1">
      <c r="A10" s="45"/>
      <c r="B10" s="21"/>
      <c r="C10" s="22"/>
      <c r="D10" s="25"/>
      <c r="E10" s="29" t="s">
        <v>43</v>
      </c>
      <c r="F10" s="30">
        <v>1430000</v>
      </c>
      <c r="G10" s="30"/>
      <c r="H10" s="30"/>
      <c r="I10" s="31">
        <f>J10-SUM(F10,G10,H10)</f>
        <v>7315610</v>
      </c>
      <c r="J10" s="30">
        <v>8745610</v>
      </c>
    </row>
    <row r="11" spans="1:11" ht="16.5" customHeight="1">
      <c r="A11" s="45"/>
      <c r="B11" s="56" t="s">
        <v>24</v>
      </c>
      <c r="C11" s="32" t="s">
        <v>69</v>
      </c>
      <c r="D11" s="33">
        <f>SUM(J11)</f>
        <v>43230872</v>
      </c>
      <c r="E11" s="55" t="s">
        <v>91</v>
      </c>
      <c r="F11" s="24">
        <f>SUM(F12:F23)</f>
        <v>229244</v>
      </c>
      <c r="G11" s="24">
        <f>SUM(G12:G23)</f>
        <v>2200000</v>
      </c>
      <c r="H11" s="24">
        <f>SUM(H12:H23)</f>
        <v>1383326</v>
      </c>
      <c r="I11" s="24">
        <f>SUM(I12:I23)</f>
        <v>39418302</v>
      </c>
      <c r="J11" s="24">
        <f>SUM(J12:J23)</f>
        <v>43230872</v>
      </c>
      <c r="K11" s="58"/>
    </row>
    <row r="12" spans="1:11" ht="16.5" customHeight="1">
      <c r="A12" s="45"/>
      <c r="B12" s="21"/>
      <c r="C12" s="22"/>
      <c r="D12" s="25"/>
      <c r="E12" s="26" t="s">
        <v>47</v>
      </c>
      <c r="F12" s="27"/>
      <c r="G12" s="27"/>
      <c r="H12" s="27">
        <v>503901</v>
      </c>
      <c r="I12" s="31">
        <f t="shared" ref="I12:I30" si="2">J12-SUM(F12,G12,H12)</f>
        <v>15197246</v>
      </c>
      <c r="J12" s="27">
        <v>15701147</v>
      </c>
    </row>
    <row r="13" spans="1:11" ht="16.5" customHeight="1">
      <c r="A13" s="45"/>
      <c r="B13" s="21"/>
      <c r="C13" s="22"/>
      <c r="D13" s="25"/>
      <c r="E13" s="26" t="s">
        <v>48</v>
      </c>
      <c r="F13" s="27"/>
      <c r="G13" s="27"/>
      <c r="H13" s="27">
        <v>16544</v>
      </c>
      <c r="I13" s="31">
        <f t="shared" si="2"/>
        <v>148896</v>
      </c>
      <c r="J13" s="27">
        <v>165440</v>
      </c>
    </row>
    <row r="14" spans="1:11" ht="16.5" customHeight="1">
      <c r="A14" s="45"/>
      <c r="B14" s="21"/>
      <c r="C14" s="22"/>
      <c r="D14" s="25"/>
      <c r="E14" s="26" t="s">
        <v>49</v>
      </c>
      <c r="F14" s="27"/>
      <c r="G14" s="27"/>
      <c r="H14" s="27">
        <v>251856</v>
      </c>
      <c r="I14" s="31">
        <f t="shared" si="2"/>
        <v>14494427</v>
      </c>
      <c r="J14" s="27">
        <v>14746283</v>
      </c>
    </row>
    <row r="15" spans="1:11" ht="16.5" customHeight="1">
      <c r="A15" s="45"/>
      <c r="B15" s="21"/>
      <c r="C15" s="22"/>
      <c r="D15" s="25"/>
      <c r="E15" s="26" t="s">
        <v>50</v>
      </c>
      <c r="F15" s="27"/>
      <c r="G15" s="27"/>
      <c r="H15" s="27">
        <v>1525</v>
      </c>
      <c r="I15" s="31">
        <f t="shared" si="2"/>
        <v>6048475</v>
      </c>
      <c r="J15" s="27">
        <v>6050000</v>
      </c>
    </row>
    <row r="16" spans="1:11" ht="16.5" customHeight="1">
      <c r="A16" s="45"/>
      <c r="B16" s="21"/>
      <c r="C16" s="22"/>
      <c r="D16" s="25"/>
      <c r="E16" s="26" t="s">
        <v>51</v>
      </c>
      <c r="F16" s="27"/>
      <c r="G16" s="27"/>
      <c r="H16" s="27">
        <v>527000</v>
      </c>
      <c r="I16" s="31">
        <f t="shared" si="2"/>
        <v>276630</v>
      </c>
      <c r="J16" s="27">
        <v>803630</v>
      </c>
    </row>
    <row r="17" spans="1:11" ht="16.5" customHeight="1">
      <c r="A17" s="45"/>
      <c r="B17" s="21"/>
      <c r="C17" s="22"/>
      <c r="D17" s="25"/>
      <c r="E17" s="26" t="s">
        <v>52</v>
      </c>
      <c r="F17" s="27"/>
      <c r="G17" s="27">
        <v>900000</v>
      </c>
      <c r="H17" s="27">
        <v>82500</v>
      </c>
      <c r="I17" s="31">
        <f t="shared" si="2"/>
        <v>5854</v>
      </c>
      <c r="J17" s="27">
        <v>988354</v>
      </c>
    </row>
    <row r="18" spans="1:11" ht="16.5" customHeight="1">
      <c r="A18" s="45"/>
      <c r="B18" s="21"/>
      <c r="C18" s="22"/>
      <c r="D18" s="25"/>
      <c r="E18" s="26" t="s">
        <v>53</v>
      </c>
      <c r="F18" s="27"/>
      <c r="G18" s="27"/>
      <c r="H18" s="27"/>
      <c r="I18" s="31">
        <f t="shared" si="2"/>
        <v>511620</v>
      </c>
      <c r="J18" s="27">
        <v>511620</v>
      </c>
    </row>
    <row r="19" spans="1:11" ht="16.5" customHeight="1">
      <c r="A19" s="45"/>
      <c r="B19" s="21"/>
      <c r="C19" s="22"/>
      <c r="D19" s="25"/>
      <c r="E19" s="26" t="s">
        <v>54</v>
      </c>
      <c r="F19" s="27"/>
      <c r="G19" s="27"/>
      <c r="H19" s="27"/>
      <c r="I19" s="31">
        <f t="shared" si="2"/>
        <v>190000</v>
      </c>
      <c r="J19" s="27">
        <v>190000</v>
      </c>
    </row>
    <row r="20" spans="1:11" ht="16.5" customHeight="1">
      <c r="A20" s="45"/>
      <c r="B20" s="21"/>
      <c r="C20" s="22"/>
      <c r="D20" s="25"/>
      <c r="E20" s="26" t="s">
        <v>55</v>
      </c>
      <c r="F20" s="27">
        <v>200244</v>
      </c>
      <c r="G20" s="27"/>
      <c r="H20" s="27"/>
      <c r="I20" s="31">
        <f t="shared" si="2"/>
        <v>619756</v>
      </c>
      <c r="J20" s="27">
        <v>820000</v>
      </c>
    </row>
    <row r="21" spans="1:11" ht="16.5" customHeight="1">
      <c r="A21" s="45"/>
      <c r="B21" s="21"/>
      <c r="C21" s="22"/>
      <c r="D21" s="25"/>
      <c r="E21" s="26" t="s">
        <v>56</v>
      </c>
      <c r="F21" s="27">
        <v>29000</v>
      </c>
      <c r="G21" s="27"/>
      <c r="H21" s="27"/>
      <c r="I21" s="31">
        <f t="shared" si="2"/>
        <v>10000</v>
      </c>
      <c r="J21" s="27">
        <v>39000</v>
      </c>
    </row>
    <row r="22" spans="1:11" ht="16.5" customHeight="1">
      <c r="A22" s="45"/>
      <c r="B22" s="21"/>
      <c r="C22" s="22"/>
      <c r="D22" s="25"/>
      <c r="E22" s="26" t="s">
        <v>57</v>
      </c>
      <c r="F22" s="27"/>
      <c r="G22" s="27">
        <v>1300000</v>
      </c>
      <c r="H22" s="27"/>
      <c r="I22" s="31">
        <f t="shared" si="2"/>
        <v>60800</v>
      </c>
      <c r="J22" s="27">
        <v>1360800</v>
      </c>
    </row>
    <row r="23" spans="1:11" ht="16.5" customHeight="1">
      <c r="A23" s="45"/>
      <c r="B23" s="21"/>
      <c r="C23" s="22"/>
      <c r="D23" s="25"/>
      <c r="E23" s="29" t="s">
        <v>59</v>
      </c>
      <c r="F23" s="27"/>
      <c r="G23" s="27"/>
      <c r="H23" s="27"/>
      <c r="I23" s="31">
        <f t="shared" si="2"/>
        <v>1854598</v>
      </c>
      <c r="J23" s="27">
        <v>1854598</v>
      </c>
    </row>
    <row r="24" spans="1:11" ht="16.5" customHeight="1">
      <c r="A24" s="45"/>
      <c r="B24" s="56" t="s">
        <v>25</v>
      </c>
      <c r="C24" s="32" t="s">
        <v>70</v>
      </c>
      <c r="D24" s="33">
        <f>SUM(J24)</f>
        <v>96434591</v>
      </c>
      <c r="E24" s="55" t="s">
        <v>91</v>
      </c>
      <c r="F24" s="24">
        <f>SUM(F25:F27)</f>
        <v>34222297</v>
      </c>
      <c r="G24" s="24">
        <f t="shared" ref="G24:H24" si="3">SUM(G25:G27)</f>
        <v>0</v>
      </c>
      <c r="H24" s="24">
        <f t="shared" si="3"/>
        <v>29656940</v>
      </c>
      <c r="I24" s="24">
        <f>SUM(I25:I27)</f>
        <v>32555354</v>
      </c>
      <c r="J24" s="24">
        <f>SUM(J25:J27)</f>
        <v>96434591</v>
      </c>
      <c r="K24" s="58"/>
    </row>
    <row r="25" spans="1:11" ht="16.5" customHeight="1">
      <c r="A25" s="45"/>
      <c r="B25" s="21"/>
      <c r="C25" s="22"/>
      <c r="D25" s="25"/>
      <c r="E25" s="28" t="s">
        <v>60</v>
      </c>
      <c r="F25" s="27">
        <v>24609306</v>
      </c>
      <c r="G25" s="27"/>
      <c r="H25" s="27"/>
      <c r="I25" s="31">
        <f t="shared" si="2"/>
        <v>4496420</v>
      </c>
      <c r="J25" s="27">
        <v>29105726</v>
      </c>
    </row>
    <row r="26" spans="1:11" ht="16.5" customHeight="1">
      <c r="A26" s="45"/>
      <c r="B26" s="21"/>
      <c r="C26" s="22"/>
      <c r="D26" s="25"/>
      <c r="E26" s="28" t="s">
        <v>61</v>
      </c>
      <c r="F26" s="27">
        <v>9612991</v>
      </c>
      <c r="G26" s="27"/>
      <c r="H26" s="27">
        <v>29656940</v>
      </c>
      <c r="I26" s="31">
        <f t="shared" si="2"/>
        <v>27818059</v>
      </c>
      <c r="J26" s="27">
        <v>67087990</v>
      </c>
    </row>
    <row r="27" spans="1:11" ht="16.5" customHeight="1">
      <c r="A27" s="48"/>
      <c r="B27" s="34"/>
      <c r="C27" s="35"/>
      <c r="D27" s="36"/>
      <c r="E27" s="28" t="s">
        <v>62</v>
      </c>
      <c r="F27" s="27"/>
      <c r="G27" s="27"/>
      <c r="H27" s="27"/>
      <c r="I27" s="24">
        <f t="shared" si="2"/>
        <v>240875</v>
      </c>
      <c r="J27" s="27">
        <v>240875</v>
      </c>
    </row>
    <row r="28" spans="1:11" ht="16.5" customHeight="1">
      <c r="A28" s="45" t="s">
        <v>89</v>
      </c>
      <c r="B28" s="49"/>
      <c r="C28" s="50"/>
      <c r="D28" s="44">
        <f>SUM(D29,D31,D33)</f>
        <v>150161868</v>
      </c>
      <c r="E28" s="43" t="s">
        <v>90</v>
      </c>
      <c r="F28" s="44">
        <f t="shared" ref="F28:J28" si="4">SUM(F29,F31,F33)</f>
        <v>27646018</v>
      </c>
      <c r="G28" s="44">
        <f t="shared" si="4"/>
        <v>0</v>
      </c>
      <c r="H28" s="44">
        <f t="shared" si="4"/>
        <v>0</v>
      </c>
      <c r="I28" s="44">
        <f t="shared" si="4"/>
        <v>122515850</v>
      </c>
      <c r="J28" s="44">
        <f t="shared" si="4"/>
        <v>150161868</v>
      </c>
      <c r="K28" s="58"/>
    </row>
    <row r="29" spans="1:11" ht="16.5" customHeight="1">
      <c r="A29" s="45"/>
      <c r="B29" s="56" t="s">
        <v>19</v>
      </c>
      <c r="C29" s="37" t="s">
        <v>31</v>
      </c>
      <c r="D29" s="31">
        <f>SUM(J29)</f>
        <v>34035310</v>
      </c>
      <c r="E29" s="55" t="s">
        <v>91</v>
      </c>
      <c r="F29" s="24">
        <f>SUM(F30)</f>
        <v>17182732</v>
      </c>
      <c r="G29" s="24">
        <f t="shared" ref="G29:J29" si="5">SUM(G30)</f>
        <v>0</v>
      </c>
      <c r="H29" s="24">
        <f t="shared" si="5"/>
        <v>0</v>
      </c>
      <c r="I29" s="24">
        <f t="shared" si="5"/>
        <v>16852578</v>
      </c>
      <c r="J29" s="24">
        <f t="shared" si="5"/>
        <v>34035310</v>
      </c>
      <c r="K29" s="58"/>
    </row>
    <row r="30" spans="1:11" ht="16.5" customHeight="1">
      <c r="A30" s="45"/>
      <c r="B30" s="34"/>
      <c r="C30" s="38"/>
      <c r="D30" s="39"/>
      <c r="E30" s="26" t="s">
        <v>63</v>
      </c>
      <c r="F30" s="27">
        <v>17182732</v>
      </c>
      <c r="G30" s="27"/>
      <c r="H30" s="27"/>
      <c r="I30" s="31">
        <f t="shared" si="2"/>
        <v>16852578</v>
      </c>
      <c r="J30" s="27">
        <v>34035310</v>
      </c>
    </row>
    <row r="31" spans="1:11" ht="16.5" customHeight="1">
      <c r="A31" s="45"/>
      <c r="B31" s="56" t="s">
        <v>20</v>
      </c>
      <c r="C31" s="32" t="s">
        <v>32</v>
      </c>
      <c r="D31" s="31">
        <f>SUM(J31)</f>
        <v>46807013</v>
      </c>
      <c r="E31" s="55" t="s">
        <v>91</v>
      </c>
      <c r="F31" s="24">
        <f>SUM(F32)</f>
        <v>632700</v>
      </c>
      <c r="G31" s="24">
        <f>SUM(G32)</f>
        <v>0</v>
      </c>
      <c r="H31" s="24">
        <f t="shared" ref="H31:J31" si="6">SUM(H32)</f>
        <v>0</v>
      </c>
      <c r="I31" s="24">
        <f t="shared" si="6"/>
        <v>46174313</v>
      </c>
      <c r="J31" s="24">
        <f t="shared" si="6"/>
        <v>46807013</v>
      </c>
      <c r="K31" s="58"/>
    </row>
    <row r="32" spans="1:11" ht="16.5" customHeight="1">
      <c r="A32" s="45"/>
      <c r="B32" s="34"/>
      <c r="C32" s="35"/>
      <c r="D32" s="36"/>
      <c r="E32" s="26" t="s">
        <v>64</v>
      </c>
      <c r="F32" s="27">
        <v>632700</v>
      </c>
      <c r="G32" s="27"/>
      <c r="H32" s="27"/>
      <c r="I32" s="31">
        <f t="shared" ref="I32" si="7">J32-SUM(F32,G32,H32)</f>
        <v>46174313</v>
      </c>
      <c r="J32" s="27">
        <v>46807013</v>
      </c>
    </row>
    <row r="33" spans="1:11" ht="16.5" customHeight="1">
      <c r="A33" s="45"/>
      <c r="B33" s="57" t="s">
        <v>21</v>
      </c>
      <c r="C33" s="22" t="s">
        <v>33</v>
      </c>
      <c r="D33" s="23">
        <f>SUM(J33)</f>
        <v>69319545</v>
      </c>
      <c r="E33" s="55" t="s">
        <v>91</v>
      </c>
      <c r="F33" s="24">
        <f>SUM(F34:F35)</f>
        <v>9830586</v>
      </c>
      <c r="G33" s="24">
        <f t="shared" ref="G33:J33" si="8">SUM(G34:G35)</f>
        <v>0</v>
      </c>
      <c r="H33" s="24">
        <f t="shared" si="8"/>
        <v>0</v>
      </c>
      <c r="I33" s="24">
        <f t="shared" si="8"/>
        <v>59488959</v>
      </c>
      <c r="J33" s="24">
        <f t="shared" si="8"/>
        <v>69319545</v>
      </c>
      <c r="K33" s="58"/>
    </row>
    <row r="34" spans="1:11" ht="16.5" customHeight="1">
      <c r="A34" s="45"/>
      <c r="B34" s="21"/>
      <c r="C34" s="22" t="s">
        <v>67</v>
      </c>
      <c r="D34" s="25"/>
      <c r="E34" s="26" t="s">
        <v>65</v>
      </c>
      <c r="F34" s="27"/>
      <c r="G34" s="27"/>
      <c r="H34" s="27"/>
      <c r="I34" s="31">
        <f t="shared" ref="I34:I48" si="9">J34-SUM(F34,G34,H34)</f>
        <v>52980097</v>
      </c>
      <c r="J34" s="27">
        <v>52980097</v>
      </c>
    </row>
    <row r="35" spans="1:11" ht="16.5" customHeight="1">
      <c r="A35" s="48"/>
      <c r="B35" s="34"/>
      <c r="C35" s="35"/>
      <c r="D35" s="36"/>
      <c r="E35" s="26" t="s">
        <v>66</v>
      </c>
      <c r="F35" s="27">
        <v>9830586</v>
      </c>
      <c r="G35" s="27"/>
      <c r="H35" s="27"/>
      <c r="I35" s="24">
        <f t="shared" si="9"/>
        <v>6508862</v>
      </c>
      <c r="J35" s="27">
        <v>16339448</v>
      </c>
    </row>
    <row r="36" spans="1:11" ht="16.5" customHeight="1">
      <c r="A36" s="45" t="s">
        <v>18</v>
      </c>
      <c r="B36" s="51"/>
      <c r="C36" s="50"/>
      <c r="D36" s="44">
        <f>SUM(D37,D41,D44)</f>
        <v>30926816</v>
      </c>
      <c r="E36" s="43" t="s">
        <v>90</v>
      </c>
      <c r="F36" s="44">
        <f t="shared" ref="F36:J36" si="10">SUM(F37,F41,F44)</f>
        <v>1752000</v>
      </c>
      <c r="G36" s="44">
        <f t="shared" si="10"/>
        <v>0</v>
      </c>
      <c r="H36" s="44">
        <f t="shared" si="10"/>
        <v>6200365</v>
      </c>
      <c r="I36" s="44">
        <f t="shared" si="10"/>
        <v>22974451</v>
      </c>
      <c r="J36" s="44">
        <f t="shared" si="10"/>
        <v>30926816</v>
      </c>
      <c r="K36" s="58"/>
    </row>
    <row r="37" spans="1:11" ht="16.5" customHeight="1">
      <c r="A37" s="54"/>
      <c r="B37" s="56" t="s">
        <v>34</v>
      </c>
      <c r="C37" s="32" t="s">
        <v>37</v>
      </c>
      <c r="D37" s="33">
        <f>SUM(J37)</f>
        <v>7323167</v>
      </c>
      <c r="E37" s="55" t="s">
        <v>91</v>
      </c>
      <c r="F37" s="24">
        <f>SUM(F38:F40)</f>
        <v>1482000</v>
      </c>
      <c r="G37" s="24">
        <f t="shared" ref="G37:J37" si="11">SUM(G38:G40)</f>
        <v>0</v>
      </c>
      <c r="H37" s="24">
        <f t="shared" si="11"/>
        <v>287300</v>
      </c>
      <c r="I37" s="24">
        <f t="shared" si="11"/>
        <v>5553867</v>
      </c>
      <c r="J37" s="24">
        <f t="shared" si="11"/>
        <v>7323167</v>
      </c>
      <c r="K37" s="58"/>
    </row>
    <row r="38" spans="1:11" ht="16.5" customHeight="1">
      <c r="A38" s="45"/>
      <c r="B38" s="40"/>
      <c r="C38" s="22" t="s">
        <v>72</v>
      </c>
      <c r="D38" s="25"/>
      <c r="E38" s="28" t="s">
        <v>78</v>
      </c>
      <c r="F38" s="27">
        <v>394000</v>
      </c>
      <c r="G38" s="27"/>
      <c r="H38" s="27">
        <v>66306</v>
      </c>
      <c r="I38" s="31">
        <f t="shared" si="9"/>
        <v>452610</v>
      </c>
      <c r="J38" s="27">
        <v>912916</v>
      </c>
    </row>
    <row r="39" spans="1:11" ht="16.5" customHeight="1">
      <c r="A39" s="45"/>
      <c r="B39" s="40"/>
      <c r="C39" s="22" t="s">
        <v>73</v>
      </c>
      <c r="D39" s="25"/>
      <c r="E39" s="28" t="s">
        <v>79</v>
      </c>
      <c r="F39" s="27">
        <v>1088000</v>
      </c>
      <c r="G39" s="27"/>
      <c r="H39" s="27">
        <v>220994</v>
      </c>
      <c r="I39" s="31">
        <f t="shared" si="9"/>
        <v>5101257</v>
      </c>
      <c r="J39" s="27">
        <v>6410251</v>
      </c>
    </row>
    <row r="40" spans="1:11" ht="16.5" customHeight="1">
      <c r="A40" s="45"/>
      <c r="B40" s="21"/>
      <c r="C40" s="22"/>
      <c r="D40" s="25"/>
      <c r="E40" s="28" t="s">
        <v>80</v>
      </c>
      <c r="F40" s="27"/>
      <c r="G40" s="27"/>
      <c r="H40" s="27"/>
      <c r="I40" s="31">
        <f t="shared" si="9"/>
        <v>0</v>
      </c>
      <c r="J40" s="27"/>
    </row>
    <row r="41" spans="1:11" ht="16.5" customHeight="1">
      <c r="A41" s="45"/>
      <c r="B41" s="56" t="s">
        <v>26</v>
      </c>
      <c r="C41" s="32" t="s">
        <v>35</v>
      </c>
      <c r="D41" s="33">
        <f>SUM(J41)</f>
        <v>7278720</v>
      </c>
      <c r="E41" s="55" t="s">
        <v>91</v>
      </c>
      <c r="F41" s="24">
        <f>SUM(F42:F43)</f>
        <v>0</v>
      </c>
      <c r="G41" s="24">
        <f t="shared" ref="G41:J41" si="12">SUM(G42:G43)</f>
        <v>0</v>
      </c>
      <c r="H41" s="24">
        <f t="shared" si="12"/>
        <v>0</v>
      </c>
      <c r="I41" s="24">
        <f t="shared" si="12"/>
        <v>7278720</v>
      </c>
      <c r="J41" s="24">
        <f t="shared" si="12"/>
        <v>7278720</v>
      </c>
      <c r="K41" s="58"/>
    </row>
    <row r="42" spans="1:11" ht="16.5" customHeight="1">
      <c r="A42" s="45"/>
      <c r="B42" s="21"/>
      <c r="C42" s="22" t="s">
        <v>74</v>
      </c>
      <c r="D42" s="25"/>
      <c r="E42" s="28" t="s">
        <v>81</v>
      </c>
      <c r="F42" s="27"/>
      <c r="G42" s="27"/>
      <c r="H42" s="27"/>
      <c r="I42" s="31">
        <f t="shared" si="9"/>
        <v>347596</v>
      </c>
      <c r="J42" s="27">
        <v>347596</v>
      </c>
    </row>
    <row r="43" spans="1:11" ht="16.5" customHeight="1">
      <c r="A43" s="45"/>
      <c r="B43" s="34"/>
      <c r="C43" s="35"/>
      <c r="D43" s="36"/>
      <c r="E43" s="28" t="s">
        <v>82</v>
      </c>
      <c r="F43" s="27"/>
      <c r="G43" s="27"/>
      <c r="H43" s="27"/>
      <c r="I43" s="31">
        <f t="shared" si="9"/>
        <v>6931124</v>
      </c>
      <c r="J43" s="27">
        <v>6931124</v>
      </c>
    </row>
    <row r="44" spans="1:11" ht="16.5" customHeight="1">
      <c r="A44" s="45"/>
      <c r="B44" s="57" t="s">
        <v>27</v>
      </c>
      <c r="C44" s="22" t="s">
        <v>36</v>
      </c>
      <c r="D44" s="23">
        <f>SUM(J44)</f>
        <v>16324929</v>
      </c>
      <c r="E44" s="55" t="s">
        <v>91</v>
      </c>
      <c r="F44" s="24">
        <f>SUM(F45:F48)</f>
        <v>270000</v>
      </c>
      <c r="G44" s="24">
        <f t="shared" ref="G44:J44" si="13">SUM(G45:G48)</f>
        <v>0</v>
      </c>
      <c r="H44" s="24">
        <f t="shared" si="13"/>
        <v>5913065</v>
      </c>
      <c r="I44" s="24">
        <f t="shared" si="13"/>
        <v>10141864</v>
      </c>
      <c r="J44" s="24">
        <f t="shared" si="13"/>
        <v>16324929</v>
      </c>
      <c r="K44" s="58"/>
    </row>
    <row r="45" spans="1:11" ht="16.5" customHeight="1">
      <c r="A45" s="45"/>
      <c r="B45" s="21"/>
      <c r="C45" s="22" t="s">
        <v>75</v>
      </c>
      <c r="D45" s="25"/>
      <c r="E45" s="28" t="s">
        <v>83</v>
      </c>
      <c r="F45" s="27">
        <v>7000</v>
      </c>
      <c r="G45" s="27"/>
      <c r="H45" s="27">
        <v>703700</v>
      </c>
      <c r="I45" s="31">
        <f t="shared" si="9"/>
        <v>3158224</v>
      </c>
      <c r="J45" s="27">
        <v>3868924</v>
      </c>
    </row>
    <row r="46" spans="1:11" ht="16.5" customHeight="1">
      <c r="A46" s="45"/>
      <c r="B46" s="21"/>
      <c r="C46" s="22" t="s">
        <v>76</v>
      </c>
      <c r="D46" s="25"/>
      <c r="E46" s="28" t="s">
        <v>84</v>
      </c>
      <c r="F46" s="27"/>
      <c r="G46" s="27"/>
      <c r="H46" s="27"/>
      <c r="I46" s="31">
        <f t="shared" si="9"/>
        <v>2857011</v>
      </c>
      <c r="J46" s="27">
        <v>2857011</v>
      </c>
    </row>
    <row r="47" spans="1:11" ht="16.5" customHeight="1">
      <c r="A47" s="45"/>
      <c r="B47" s="21"/>
      <c r="C47" s="22" t="s">
        <v>77</v>
      </c>
      <c r="D47" s="25"/>
      <c r="E47" s="28" t="s">
        <v>85</v>
      </c>
      <c r="F47" s="27">
        <v>263000</v>
      </c>
      <c r="G47" s="27"/>
      <c r="H47" s="27">
        <v>5044365</v>
      </c>
      <c r="I47" s="31">
        <f t="shared" si="9"/>
        <v>3421629</v>
      </c>
      <c r="J47" s="27">
        <v>8728994</v>
      </c>
    </row>
    <row r="48" spans="1:11" ht="16.5" customHeight="1">
      <c r="A48" s="48"/>
      <c r="B48" s="34"/>
      <c r="C48" s="35"/>
      <c r="D48" s="36"/>
      <c r="E48" s="28" t="s">
        <v>86</v>
      </c>
      <c r="F48" s="27"/>
      <c r="G48" s="27"/>
      <c r="H48" s="27">
        <v>165000</v>
      </c>
      <c r="I48" s="24">
        <f t="shared" si="9"/>
        <v>705000</v>
      </c>
      <c r="J48" s="27">
        <v>870000</v>
      </c>
    </row>
    <row r="49" spans="1:11" ht="16.5" customHeight="1">
      <c r="A49" s="164" t="s">
        <v>92</v>
      </c>
      <c r="B49" s="164"/>
      <c r="C49" s="164"/>
      <c r="D49" s="52">
        <f>SUM(D4,D28,D36)</f>
        <v>480861047</v>
      </c>
      <c r="E49" s="53"/>
      <c r="F49" s="52">
        <f>SUM(F4,F28,F36)</f>
        <v>182336200</v>
      </c>
      <c r="G49" s="52">
        <f>SUM(G4,G28,G36)</f>
        <v>2200000</v>
      </c>
      <c r="H49" s="52">
        <f>SUM(H4,H28,H36)</f>
        <v>38011841</v>
      </c>
      <c r="I49" s="52">
        <f>SUM(I4,I28,I36)</f>
        <v>258313006</v>
      </c>
      <c r="J49" s="52">
        <f>SUM(J4,J28,J36)</f>
        <v>480861047</v>
      </c>
      <c r="K49" s="58"/>
    </row>
  </sheetData>
  <mergeCells count="1">
    <mergeCell ref="A49:C49"/>
  </mergeCells>
  <phoneticPr fontId="2"/>
  <pageMargins left="0.7" right="0.7" top="0.75" bottom="0.75" header="0.3" footer="0.3"/>
  <pageSetup paperSize="9" scale="63" fitToHeight="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7"/>
  <sheetViews>
    <sheetView showGridLines="0" view="pageBreakPreview" zoomScale="60" zoomScaleNormal="70" workbookViewId="0">
      <selection activeCell="J7" sqref="J7"/>
    </sheetView>
  </sheetViews>
  <sheetFormatPr defaultRowHeight="29.25" customHeight="1"/>
  <cols>
    <col min="1" max="1" width="9.625" style="11" customWidth="1"/>
    <col min="2" max="8" width="19.25" style="1" customWidth="1"/>
    <col min="9" max="9" width="26.625" style="1" customWidth="1"/>
    <col min="10" max="10" width="19.25" style="1" customWidth="1"/>
    <col min="11" max="12" width="5.25" style="1" customWidth="1"/>
    <col min="13" max="15" width="15.75" style="1" customWidth="1"/>
    <col min="16" max="16" width="21.5" style="1" customWidth="1"/>
    <col min="17" max="16384" width="9" style="1"/>
  </cols>
  <sheetData>
    <row r="1" spans="1:16" ht="23.25" customHeight="1">
      <c r="B1" s="162" t="s">
        <v>93</v>
      </c>
      <c r="C1" s="162"/>
      <c r="D1" s="162"/>
      <c r="E1" s="162"/>
      <c r="F1" s="162"/>
      <c r="G1" s="162"/>
      <c r="H1" s="162"/>
      <c r="I1" s="162"/>
      <c r="J1" s="162"/>
    </row>
    <row r="2" spans="1:16" ht="23.25" customHeight="1">
      <c r="A2" s="12"/>
      <c r="B2" s="162"/>
      <c r="C2" s="162"/>
      <c r="D2" s="162"/>
      <c r="E2" s="162"/>
      <c r="F2" s="162"/>
      <c r="G2" s="162"/>
      <c r="H2" s="162"/>
      <c r="I2" s="162"/>
      <c r="J2" s="162"/>
    </row>
    <row r="3" spans="1:16" ht="23.25" customHeight="1"/>
    <row r="4" spans="1:16" s="7" customFormat="1" ht="23.25" customHeight="1">
      <c r="A4" s="11"/>
      <c r="B4" s="5" t="s">
        <v>0</v>
      </c>
      <c r="C4" s="6" t="s">
        <v>1</v>
      </c>
      <c r="D4" s="6"/>
      <c r="E4" s="6"/>
      <c r="F4" s="6"/>
      <c r="I4" s="4">
        <v>23895</v>
      </c>
    </row>
    <row r="5" spans="1:16" ht="23.25" customHeight="1">
      <c r="B5" s="2"/>
      <c r="C5" s="3"/>
      <c r="D5" s="3"/>
      <c r="E5" s="3"/>
      <c r="F5" s="3"/>
    </row>
    <row r="6" spans="1:16" s="7" customFormat="1" ht="23.25" customHeight="1">
      <c r="A6" s="11"/>
      <c r="B6" s="5" t="s">
        <v>2</v>
      </c>
      <c r="C6" s="6" t="s">
        <v>3</v>
      </c>
      <c r="D6" s="6"/>
      <c r="E6" s="6"/>
      <c r="F6" s="6"/>
      <c r="I6" s="4">
        <v>486109</v>
      </c>
    </row>
    <row r="7" spans="1:16" ht="23.25" customHeight="1"/>
    <row r="8" spans="1:16" ht="29.25" customHeight="1">
      <c r="B8" s="7" t="s">
        <v>4</v>
      </c>
      <c r="J8" s="8" t="s">
        <v>14</v>
      </c>
    </row>
    <row r="9" spans="1:16" s="7" customFormat="1" ht="29.25" customHeight="1">
      <c r="A9" s="11"/>
      <c r="B9" s="160" t="s">
        <v>5</v>
      </c>
      <c r="C9" s="160" t="s">
        <v>6</v>
      </c>
      <c r="D9" s="160"/>
      <c r="E9" s="163" t="s">
        <v>94</v>
      </c>
      <c r="F9" s="160" t="s">
        <v>13</v>
      </c>
      <c r="G9" s="160"/>
      <c r="H9" s="160"/>
      <c r="I9" s="160"/>
      <c r="J9" s="160"/>
    </row>
    <row r="10" spans="1:16" s="7" customFormat="1" ht="29.25" customHeight="1">
      <c r="A10" s="11"/>
      <c r="B10" s="160"/>
      <c r="C10" s="160"/>
      <c r="D10" s="160"/>
      <c r="E10" s="160"/>
      <c r="F10" s="160" t="s">
        <v>10</v>
      </c>
      <c r="G10" s="160"/>
      <c r="H10" s="160"/>
      <c r="I10" s="160" t="s">
        <v>11</v>
      </c>
      <c r="J10" s="160"/>
    </row>
    <row r="11" spans="1:16" s="7" customFormat="1" ht="41.25" customHeight="1">
      <c r="A11" s="11"/>
      <c r="B11" s="160"/>
      <c r="C11" s="160"/>
      <c r="D11" s="160"/>
      <c r="E11" s="160"/>
      <c r="F11" s="62" t="s">
        <v>7</v>
      </c>
      <c r="G11" s="62" t="s">
        <v>8</v>
      </c>
      <c r="H11" s="62" t="s">
        <v>9</v>
      </c>
      <c r="I11" s="61" t="s">
        <v>12</v>
      </c>
      <c r="J11" s="62" t="s">
        <v>9</v>
      </c>
      <c r="M11" s="10" t="s">
        <v>29</v>
      </c>
      <c r="N11" s="10" t="s">
        <v>29</v>
      </c>
    </row>
    <row r="12" spans="1:16" s="7" customFormat="1" ht="29.25" customHeight="1">
      <c r="A12" s="11"/>
      <c r="B12" s="160" t="s">
        <v>16</v>
      </c>
      <c r="C12" s="161" t="s">
        <v>28</v>
      </c>
      <c r="D12" s="161"/>
      <c r="E12" s="59">
        <v>164481</v>
      </c>
      <c r="F12" s="59">
        <v>117345</v>
      </c>
      <c r="G12" s="59">
        <v>0</v>
      </c>
      <c r="H12" s="59">
        <v>2378</v>
      </c>
      <c r="I12" s="60">
        <f>ROUND(I24/M24*M12,0)</f>
        <v>3954</v>
      </c>
      <c r="J12" s="59">
        <f>E12-(F12+G12+H12+I12)</f>
        <v>40804</v>
      </c>
      <c r="M12" s="9">
        <f>E12-(SUM(F12,G12,H12))</f>
        <v>44758</v>
      </c>
      <c r="N12" s="9">
        <f>I12+J12</f>
        <v>44758</v>
      </c>
      <c r="O12" s="9">
        <f>M12-N12</f>
        <v>0</v>
      </c>
      <c r="P12" s="7">
        <f>M12/M24*I24</f>
        <v>3954.097427877417</v>
      </c>
    </row>
    <row r="13" spans="1:16" s="7" customFormat="1" ht="29.25" customHeight="1">
      <c r="A13" s="11"/>
      <c r="B13" s="160"/>
      <c r="C13" s="161" t="s">
        <v>24</v>
      </c>
      <c r="D13" s="161"/>
      <c r="E13" s="59">
        <v>44728</v>
      </c>
      <c r="F13" s="59">
        <v>202</v>
      </c>
      <c r="G13" s="59">
        <v>900</v>
      </c>
      <c r="H13" s="59">
        <v>588</v>
      </c>
      <c r="I13" s="60">
        <f>ROUND(I24/M24*M13,0)</f>
        <v>3802</v>
      </c>
      <c r="J13" s="59">
        <f>E13-(F13+G13+H13+I13)</f>
        <v>39236</v>
      </c>
      <c r="M13" s="9">
        <f t="shared" ref="M13:M23" si="0">E13-(SUM(F13,G13,H13))</f>
        <v>43038</v>
      </c>
      <c r="N13" s="9">
        <f t="shared" ref="N13:N23" si="1">I13+J13</f>
        <v>43038</v>
      </c>
      <c r="O13" s="9">
        <f t="shared" ref="O13:O24" si="2">M13-N13</f>
        <v>0</v>
      </c>
      <c r="P13" s="7">
        <f>M13/M24*I24</f>
        <v>3802.145875619738</v>
      </c>
    </row>
    <row r="14" spans="1:16" s="7" customFormat="1" ht="29.25" customHeight="1">
      <c r="A14" s="11"/>
      <c r="B14" s="160"/>
      <c r="C14" s="161" t="s">
        <v>25</v>
      </c>
      <c r="D14" s="161"/>
      <c r="E14" s="59">
        <v>99735</v>
      </c>
      <c r="F14" s="59">
        <v>35030</v>
      </c>
      <c r="G14" s="59">
        <v>0</v>
      </c>
      <c r="H14" s="59">
        <v>17253</v>
      </c>
      <c r="I14" s="60">
        <f>ROUND(I24/M24*M14,0)</f>
        <v>4192</v>
      </c>
      <c r="J14" s="59">
        <f t="shared" ref="J14" si="3">E14-(F14+G14+H14+I14)</f>
        <v>43260</v>
      </c>
      <c r="M14" s="9">
        <f t="shared" si="0"/>
        <v>47452</v>
      </c>
      <c r="N14" s="9">
        <f t="shared" si="1"/>
        <v>47452</v>
      </c>
      <c r="O14" s="9">
        <f t="shared" si="2"/>
        <v>0</v>
      </c>
      <c r="P14" s="7">
        <f>M14/M24*I24</f>
        <v>4192.095963797291</v>
      </c>
    </row>
    <row r="15" spans="1:16" s="7" customFormat="1" ht="29.25" customHeight="1">
      <c r="A15" s="11"/>
      <c r="B15" s="160"/>
      <c r="C15" s="160" t="s">
        <v>22</v>
      </c>
      <c r="D15" s="160"/>
      <c r="E15" s="59">
        <f t="shared" ref="E15:J15" si="4">SUM(E12:E14)</f>
        <v>308944</v>
      </c>
      <c r="F15" s="59">
        <f t="shared" si="4"/>
        <v>152577</v>
      </c>
      <c r="G15" s="59">
        <f t="shared" si="4"/>
        <v>900</v>
      </c>
      <c r="H15" s="59">
        <f t="shared" si="4"/>
        <v>20219</v>
      </c>
      <c r="I15" s="60">
        <f t="shared" si="4"/>
        <v>11948</v>
      </c>
      <c r="J15" s="59">
        <f t="shared" si="4"/>
        <v>123300</v>
      </c>
      <c r="M15" s="9">
        <f t="shared" si="0"/>
        <v>135248</v>
      </c>
      <c r="N15" s="9">
        <f t="shared" si="1"/>
        <v>135248</v>
      </c>
      <c r="O15" s="9">
        <f t="shared" si="2"/>
        <v>0</v>
      </c>
      <c r="P15" s="7">
        <f>M15/M24*I24</f>
        <v>11948.339267294446</v>
      </c>
    </row>
    <row r="16" spans="1:16" s="7" customFormat="1" ht="29.25" customHeight="1">
      <c r="A16" s="11"/>
      <c r="B16" s="160" t="s">
        <v>17</v>
      </c>
      <c r="C16" s="161" t="s">
        <v>19</v>
      </c>
      <c r="D16" s="161"/>
      <c r="E16" s="59">
        <v>34980</v>
      </c>
      <c r="F16" s="59">
        <v>17713</v>
      </c>
      <c r="G16" s="59">
        <v>0</v>
      </c>
      <c r="H16" s="59">
        <v>0</v>
      </c>
      <c r="I16" s="60">
        <f>ROUND(I24/M24*M16,0)+1</f>
        <v>1526</v>
      </c>
      <c r="J16" s="59">
        <f>E16-(F16+G16+H16+I16)</f>
        <v>15741</v>
      </c>
      <c r="M16" s="9">
        <f t="shared" si="0"/>
        <v>17267</v>
      </c>
      <c r="N16" s="9">
        <f t="shared" si="1"/>
        <v>17267</v>
      </c>
      <c r="O16" s="9">
        <f t="shared" si="2"/>
        <v>0</v>
      </c>
      <c r="P16" s="7">
        <f>M16/M24*I24</f>
        <v>1525.434565600772</v>
      </c>
    </row>
    <row r="17" spans="1:16" s="7" customFormat="1" ht="29.25" customHeight="1">
      <c r="A17" s="11"/>
      <c r="B17" s="160"/>
      <c r="C17" s="161" t="s">
        <v>20</v>
      </c>
      <c r="D17" s="161"/>
      <c r="E17" s="59">
        <v>45112</v>
      </c>
      <c r="F17" s="59">
        <v>591</v>
      </c>
      <c r="G17" s="59">
        <v>0</v>
      </c>
      <c r="H17" s="59">
        <v>0</v>
      </c>
      <c r="I17" s="60">
        <f>ROUND(I24/M24*M17,0)</f>
        <v>3933</v>
      </c>
      <c r="J17" s="59">
        <f t="shared" ref="J17:J18" si="5">E17-(F17+G17+H17+I17)</f>
        <v>40588</v>
      </c>
      <c r="M17" s="9">
        <f t="shared" si="0"/>
        <v>44521</v>
      </c>
      <c r="N17" s="9">
        <f t="shared" si="1"/>
        <v>44521</v>
      </c>
      <c r="O17" s="9">
        <f t="shared" si="2"/>
        <v>0</v>
      </c>
      <c r="P17" s="7">
        <f>M17/M24*I24</f>
        <v>3933.1599174791199</v>
      </c>
    </row>
    <row r="18" spans="1:16" s="7" customFormat="1" ht="29.25" customHeight="1">
      <c r="A18" s="11"/>
      <c r="B18" s="160"/>
      <c r="C18" s="161" t="s">
        <v>21</v>
      </c>
      <c r="D18" s="161"/>
      <c r="E18" s="59">
        <v>65611</v>
      </c>
      <c r="F18" s="59">
        <v>9478</v>
      </c>
      <c r="G18" s="59">
        <v>0</v>
      </c>
      <c r="H18" s="59">
        <v>0</v>
      </c>
      <c r="I18" s="60">
        <f>ROUND(I24/M24*M18,0)</f>
        <v>4959</v>
      </c>
      <c r="J18" s="59">
        <f t="shared" si="5"/>
        <v>51174</v>
      </c>
      <c r="M18" s="9">
        <f t="shared" si="0"/>
        <v>56133</v>
      </c>
      <c r="N18" s="9">
        <f t="shared" si="1"/>
        <v>56133</v>
      </c>
      <c r="O18" s="9">
        <f t="shared" si="2"/>
        <v>0</v>
      </c>
      <c r="P18" s="7">
        <f>M18/M24*I24</f>
        <v>4959.0095830699092</v>
      </c>
    </row>
    <row r="19" spans="1:16" s="7" customFormat="1" ht="29.25" customHeight="1">
      <c r="A19" s="11"/>
      <c r="B19" s="160"/>
      <c r="C19" s="160" t="s">
        <v>22</v>
      </c>
      <c r="D19" s="160"/>
      <c r="E19" s="59">
        <f>SUM(E16:E18)</f>
        <v>145703</v>
      </c>
      <c r="F19" s="59">
        <f t="shared" ref="F19:J19" si="6">SUM(F16:F18)</f>
        <v>27782</v>
      </c>
      <c r="G19" s="59">
        <f t="shared" si="6"/>
        <v>0</v>
      </c>
      <c r="H19" s="59">
        <f t="shared" si="6"/>
        <v>0</v>
      </c>
      <c r="I19" s="60">
        <f t="shared" si="6"/>
        <v>10418</v>
      </c>
      <c r="J19" s="59">
        <f t="shared" si="6"/>
        <v>107503</v>
      </c>
      <c r="M19" s="9">
        <f t="shared" si="0"/>
        <v>117921</v>
      </c>
      <c r="N19" s="9">
        <f t="shared" si="1"/>
        <v>117921</v>
      </c>
      <c r="O19" s="9">
        <f t="shared" si="2"/>
        <v>0</v>
      </c>
      <c r="P19" s="7">
        <f>M19/M24*I24</f>
        <v>10417.604066149803</v>
      </c>
    </row>
    <row r="20" spans="1:16" s="7" customFormat="1" ht="29.25" customHeight="1">
      <c r="A20" s="11"/>
      <c r="B20" s="160" t="s">
        <v>18</v>
      </c>
      <c r="C20" s="161" t="s">
        <v>23</v>
      </c>
      <c r="D20" s="161"/>
      <c r="E20" s="59">
        <v>8259</v>
      </c>
      <c r="F20" s="59">
        <v>1504</v>
      </c>
      <c r="G20" s="59">
        <v>0</v>
      </c>
      <c r="H20" s="59">
        <v>5887</v>
      </c>
      <c r="I20" s="60">
        <f>ROUND(I24/M24*M20,0)</f>
        <v>77</v>
      </c>
      <c r="J20" s="59">
        <f>E20-(F20+G20+H20+I20)</f>
        <v>791</v>
      </c>
      <c r="M20" s="9">
        <f t="shared" si="0"/>
        <v>868</v>
      </c>
      <c r="N20" s="9">
        <f t="shared" si="1"/>
        <v>868</v>
      </c>
      <c r="O20" s="9">
        <f t="shared" si="2"/>
        <v>0</v>
      </c>
      <c r="P20" s="7">
        <f>M20/M24*I24</f>
        <v>76.682527534688717</v>
      </c>
    </row>
    <row r="21" spans="1:16" s="7" customFormat="1" ht="29.25" customHeight="1">
      <c r="A21" s="11"/>
      <c r="B21" s="160"/>
      <c r="C21" s="161" t="s">
        <v>26</v>
      </c>
      <c r="D21" s="161"/>
      <c r="E21" s="59">
        <v>6931</v>
      </c>
      <c r="F21" s="59">
        <v>0</v>
      </c>
      <c r="G21" s="59">
        <v>0</v>
      </c>
      <c r="H21" s="59">
        <v>150</v>
      </c>
      <c r="I21" s="60">
        <f>ROUND(I24/M24*M21,0)</f>
        <v>599</v>
      </c>
      <c r="J21" s="59">
        <f>E21-(F21+G21+H21+I21)</f>
        <v>6182</v>
      </c>
      <c r="M21" s="9">
        <f t="shared" si="0"/>
        <v>6781</v>
      </c>
      <c r="N21" s="9">
        <f t="shared" si="1"/>
        <v>6781</v>
      </c>
      <c r="O21" s="9">
        <f t="shared" si="2"/>
        <v>0</v>
      </c>
      <c r="P21" s="7">
        <f>M21/M24*I24</f>
        <v>599.0601603833228</v>
      </c>
    </row>
    <row r="22" spans="1:16" s="7" customFormat="1" ht="29.25" customHeight="1">
      <c r="A22" s="11"/>
      <c r="B22" s="160"/>
      <c r="C22" s="161" t="s">
        <v>27</v>
      </c>
      <c r="D22" s="161"/>
      <c r="E22" s="59">
        <v>16272</v>
      </c>
      <c r="F22" s="59">
        <v>319</v>
      </c>
      <c r="G22" s="59">
        <v>0</v>
      </c>
      <c r="H22" s="59">
        <f>6295-1</f>
        <v>6294</v>
      </c>
      <c r="I22" s="60">
        <f>ROUND(I24/M24*M22,0)</f>
        <v>853</v>
      </c>
      <c r="J22" s="59">
        <f t="shared" ref="J22" si="7">E22-(F22+G22+H22+I22)</f>
        <v>8806</v>
      </c>
      <c r="M22" s="9">
        <f t="shared" si="0"/>
        <v>9659</v>
      </c>
      <c r="N22" s="9">
        <f t="shared" si="1"/>
        <v>9659</v>
      </c>
      <c r="O22" s="9">
        <f t="shared" si="2"/>
        <v>0</v>
      </c>
      <c r="P22" s="7">
        <f>M22/M24*I24</f>
        <v>853.31397863773998</v>
      </c>
    </row>
    <row r="23" spans="1:16" s="7" customFormat="1" ht="29.25" customHeight="1">
      <c r="A23" s="11"/>
      <c r="B23" s="160"/>
      <c r="C23" s="160" t="s">
        <v>22</v>
      </c>
      <c r="D23" s="160"/>
      <c r="E23" s="59">
        <f>SUM(E20:E22)</f>
        <v>31462</v>
      </c>
      <c r="F23" s="59">
        <f t="shared" ref="F23:I23" si="8">SUM(F20:F22)</f>
        <v>1823</v>
      </c>
      <c r="G23" s="59">
        <f t="shared" si="8"/>
        <v>0</v>
      </c>
      <c r="H23" s="59">
        <f t="shared" si="8"/>
        <v>12331</v>
      </c>
      <c r="I23" s="60">
        <f t="shared" si="8"/>
        <v>1529</v>
      </c>
      <c r="J23" s="59">
        <f>SUM(J20:J22)</f>
        <v>15779</v>
      </c>
      <c r="M23" s="9">
        <f t="shared" si="0"/>
        <v>17308</v>
      </c>
      <c r="N23" s="9">
        <f t="shared" si="1"/>
        <v>17308</v>
      </c>
      <c r="O23" s="9">
        <f t="shared" si="2"/>
        <v>0</v>
      </c>
      <c r="P23" s="7">
        <f>M23/M24*I24</f>
        <v>1529.0566665557515</v>
      </c>
    </row>
    <row r="24" spans="1:16" s="7" customFormat="1" ht="29.25" customHeight="1">
      <c r="A24" s="11"/>
      <c r="B24" s="160" t="s">
        <v>15</v>
      </c>
      <c r="C24" s="160"/>
      <c r="D24" s="160"/>
      <c r="E24" s="59">
        <f>SUM(E23,E19,E15)</f>
        <v>486109</v>
      </c>
      <c r="F24" s="59">
        <f t="shared" ref="F24:H24" si="9">SUM(F23,F19,F15)</f>
        <v>182182</v>
      </c>
      <c r="G24" s="59">
        <f t="shared" si="9"/>
        <v>900</v>
      </c>
      <c r="H24" s="59">
        <f t="shared" si="9"/>
        <v>32550</v>
      </c>
      <c r="I24" s="60">
        <f>I4</f>
        <v>23895</v>
      </c>
      <c r="J24" s="59">
        <f>SUM(J23,J19,J15)</f>
        <v>246582</v>
      </c>
      <c r="M24" s="9">
        <f>E24-(SUM(F24,G24,H24))</f>
        <v>270477</v>
      </c>
      <c r="N24" s="9">
        <f>I24+J24</f>
        <v>270477</v>
      </c>
      <c r="O24" s="9">
        <f t="shared" si="2"/>
        <v>0</v>
      </c>
      <c r="P24" s="7">
        <f>M24/M24*I24</f>
        <v>23895</v>
      </c>
    </row>
    <row r="25" spans="1:16" ht="29.25" customHeight="1">
      <c r="B25" s="7" t="s">
        <v>30</v>
      </c>
    </row>
    <row r="26" spans="1:16" ht="21.75" customHeight="1">
      <c r="I26" s="9"/>
      <c r="J26" s="9"/>
    </row>
    <row r="27" spans="1:16" ht="21.75" customHeight="1"/>
  </sheetData>
  <mergeCells count="23">
    <mergeCell ref="B1:J2"/>
    <mergeCell ref="B9:B11"/>
    <mergeCell ref="C9:D11"/>
    <mergeCell ref="E9:E11"/>
    <mergeCell ref="F9:J9"/>
    <mergeCell ref="F10:H10"/>
    <mergeCell ref="I10:J10"/>
    <mergeCell ref="B24:D24"/>
    <mergeCell ref="B12:B15"/>
    <mergeCell ref="C12:D12"/>
    <mergeCell ref="C13:D13"/>
    <mergeCell ref="C14:D14"/>
    <mergeCell ref="C15:D15"/>
    <mergeCell ref="B16:B19"/>
    <mergeCell ref="C16:D16"/>
    <mergeCell ref="C17:D17"/>
    <mergeCell ref="C18:D18"/>
    <mergeCell ref="C19:D19"/>
    <mergeCell ref="B20:B23"/>
    <mergeCell ref="C20:D20"/>
    <mergeCell ref="C21:D21"/>
    <mergeCell ref="C22:D22"/>
    <mergeCell ref="C23:D23"/>
  </mergeCells>
  <phoneticPr fontId="2"/>
  <pageMargins left="0.19685039370078741" right="0.70866141732283472" top="0.74803149606299213" bottom="0.74803149606299213" header="0.31496062992125984" footer="0.31496062992125984"/>
  <pageSetup paperSize="9" scale="72" fitToHeight="0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zoomScale="80" zoomScaleNormal="80" workbookViewId="0">
      <selection activeCell="A2" sqref="A2"/>
    </sheetView>
  </sheetViews>
  <sheetFormatPr defaultRowHeight="16.5" customHeight="1"/>
  <cols>
    <col min="1" max="1" width="10.75" style="1" customWidth="1"/>
    <col min="2" max="2" width="22.875" style="1" customWidth="1"/>
    <col min="3" max="3" width="47.375" style="14" customWidth="1"/>
    <col min="4" max="4" width="13.75" style="15" customWidth="1"/>
    <col min="5" max="5" width="42.375" style="1" customWidth="1"/>
    <col min="6" max="9" width="13.5" style="15" customWidth="1"/>
    <col min="10" max="10" width="15.75" style="15" customWidth="1"/>
    <col min="11" max="16384" width="9" style="1"/>
  </cols>
  <sheetData>
    <row r="1" spans="1:11" ht="16.5" customHeight="1">
      <c r="A1" s="13" t="s">
        <v>95</v>
      </c>
    </row>
    <row r="2" spans="1:11" ht="16.5" customHeight="1">
      <c r="J2" s="16" t="s">
        <v>87</v>
      </c>
    </row>
    <row r="3" spans="1:11" ht="16.5" customHeight="1">
      <c r="A3" s="17" t="s">
        <v>5</v>
      </c>
      <c r="B3" s="17" t="s">
        <v>6</v>
      </c>
      <c r="C3" s="18" t="s">
        <v>71</v>
      </c>
      <c r="D3" s="19" t="s">
        <v>46</v>
      </c>
      <c r="E3" s="17" t="s">
        <v>6</v>
      </c>
      <c r="F3" s="19" t="s">
        <v>7</v>
      </c>
      <c r="G3" s="19" t="s">
        <v>8</v>
      </c>
      <c r="H3" s="19" t="s">
        <v>9</v>
      </c>
      <c r="I3" s="19" t="s">
        <v>11</v>
      </c>
      <c r="J3" s="20" t="s">
        <v>44</v>
      </c>
    </row>
    <row r="4" spans="1:11" ht="16.5" customHeight="1">
      <c r="A4" s="45" t="s">
        <v>16</v>
      </c>
      <c r="B4" s="46"/>
      <c r="C4" s="47"/>
      <c r="D4" s="42">
        <f>SUM(D5,D11,D25)</f>
        <v>308944164</v>
      </c>
      <c r="E4" s="43" t="s">
        <v>90</v>
      </c>
      <c r="F4" s="42">
        <f>SUM(F5,F11,F25)</f>
        <v>152577446</v>
      </c>
      <c r="G4" s="42">
        <f t="shared" ref="G4:J4" si="0">SUM(G5,G11,G25)</f>
        <v>900000</v>
      </c>
      <c r="H4" s="42">
        <f t="shared" si="0"/>
        <v>20219093</v>
      </c>
      <c r="I4" s="42">
        <f t="shared" si="0"/>
        <v>135247625</v>
      </c>
      <c r="J4" s="42">
        <f t="shared" si="0"/>
        <v>308944164</v>
      </c>
      <c r="K4" s="58"/>
    </row>
    <row r="5" spans="1:11" ht="16.5" customHeight="1">
      <c r="A5" s="45"/>
      <c r="B5" s="56" t="s">
        <v>28</v>
      </c>
      <c r="C5" s="32" t="s">
        <v>68</v>
      </c>
      <c r="D5" s="33">
        <f>SUM(J5)</f>
        <v>164481513</v>
      </c>
      <c r="E5" s="55" t="s">
        <v>91</v>
      </c>
      <c r="F5" s="24">
        <f>SUM(F6:F10)</f>
        <v>117345402</v>
      </c>
      <c r="G5" s="24">
        <f>SUM(G6:G10)</f>
        <v>0</v>
      </c>
      <c r="H5" s="24">
        <f>SUM(H6:H10)</f>
        <v>2377955</v>
      </c>
      <c r="I5" s="24">
        <f t="shared" ref="I5:J5" si="1">SUM(I6:I10)</f>
        <v>44758156</v>
      </c>
      <c r="J5" s="24">
        <f t="shared" si="1"/>
        <v>164481513</v>
      </c>
      <c r="K5" s="58"/>
    </row>
    <row r="6" spans="1:11" ht="16.5" customHeight="1">
      <c r="A6" s="45"/>
      <c r="B6" s="21"/>
      <c r="C6" s="22"/>
      <c r="D6" s="25"/>
      <c r="E6" s="26" t="s">
        <v>40</v>
      </c>
      <c r="F6" s="27">
        <v>2121000</v>
      </c>
      <c r="G6" s="27"/>
      <c r="H6" s="27">
        <v>2377955</v>
      </c>
      <c r="I6" s="24">
        <f>J6-SUM(F6,G6,H6)</f>
        <v>2122235</v>
      </c>
      <c r="J6" s="27">
        <v>6621190</v>
      </c>
    </row>
    <row r="7" spans="1:11" ht="16.5" customHeight="1">
      <c r="A7" s="45"/>
      <c r="B7" s="21"/>
      <c r="C7" s="22"/>
      <c r="D7" s="25"/>
      <c r="E7" s="26" t="s">
        <v>45</v>
      </c>
      <c r="F7" s="27"/>
      <c r="G7" s="27"/>
      <c r="H7" s="27"/>
      <c r="I7" s="24">
        <f>J7-SUM(F7,G7,H7)</f>
        <v>223930</v>
      </c>
      <c r="J7" s="27">
        <v>223930</v>
      </c>
    </row>
    <row r="8" spans="1:11" ht="16.5" customHeight="1">
      <c r="A8" s="45"/>
      <c r="B8" s="21"/>
      <c r="C8" s="22"/>
      <c r="D8" s="25"/>
      <c r="E8" s="28" t="s">
        <v>41</v>
      </c>
      <c r="F8" s="27">
        <v>112700000</v>
      </c>
      <c r="G8" s="27"/>
      <c r="H8" s="27"/>
      <c r="I8" s="24">
        <f t="shared" ref="I8:I9" si="2">J8-SUM(F8,G8,H8)</f>
        <v>34920031</v>
      </c>
      <c r="J8" s="27">
        <v>147620031</v>
      </c>
    </row>
    <row r="9" spans="1:11" ht="16.5" customHeight="1">
      <c r="A9" s="45"/>
      <c r="B9" s="21"/>
      <c r="C9" s="22"/>
      <c r="D9" s="25"/>
      <c r="E9" s="26" t="s">
        <v>42</v>
      </c>
      <c r="F9" s="27">
        <v>986402</v>
      </c>
      <c r="G9" s="27"/>
      <c r="H9" s="27"/>
      <c r="I9" s="24">
        <f t="shared" si="2"/>
        <v>0</v>
      </c>
      <c r="J9" s="27">
        <v>986402</v>
      </c>
    </row>
    <row r="10" spans="1:11" ht="16.5" customHeight="1">
      <c r="A10" s="45"/>
      <c r="B10" s="21"/>
      <c r="C10" s="22"/>
      <c r="D10" s="25"/>
      <c r="E10" s="29" t="s">
        <v>43</v>
      </c>
      <c r="F10" s="30">
        <v>1538000</v>
      </c>
      <c r="G10" s="30"/>
      <c r="H10" s="30"/>
      <c r="I10" s="31">
        <f>J10-SUM(F10,G10,H10)</f>
        <v>7491960</v>
      </c>
      <c r="J10" s="30">
        <v>9029960</v>
      </c>
    </row>
    <row r="11" spans="1:11" ht="16.5" customHeight="1">
      <c r="A11" s="45"/>
      <c r="B11" s="56" t="s">
        <v>24</v>
      </c>
      <c r="C11" s="32" t="s">
        <v>69</v>
      </c>
      <c r="D11" s="33">
        <f>SUM(J11)</f>
        <v>44728135</v>
      </c>
      <c r="E11" s="55" t="s">
        <v>91</v>
      </c>
      <c r="F11" s="24">
        <f>SUM(F12:F24)</f>
        <v>202461</v>
      </c>
      <c r="G11" s="24">
        <f t="shared" ref="G11:J11" si="3">SUM(G12:G24)</f>
        <v>900000</v>
      </c>
      <c r="H11" s="24">
        <f t="shared" si="3"/>
        <v>588338</v>
      </c>
      <c r="I11" s="24">
        <f t="shared" si="3"/>
        <v>43037336</v>
      </c>
      <c r="J11" s="24">
        <f t="shared" si="3"/>
        <v>44728135</v>
      </c>
      <c r="K11" s="58"/>
    </row>
    <row r="12" spans="1:11" ht="16.5" customHeight="1">
      <c r="A12" s="45"/>
      <c r="B12" s="21"/>
      <c r="C12" s="22"/>
      <c r="D12" s="25"/>
      <c r="E12" s="26" t="s">
        <v>47</v>
      </c>
      <c r="F12" s="27"/>
      <c r="G12" s="27"/>
      <c r="H12" s="27">
        <v>291000</v>
      </c>
      <c r="I12" s="31">
        <f t="shared" ref="I12:I31" si="4">J12-SUM(F12,G12,H12)</f>
        <v>15815497</v>
      </c>
      <c r="J12" s="27">
        <v>16106497</v>
      </c>
    </row>
    <row r="13" spans="1:11" ht="16.5" customHeight="1">
      <c r="A13" s="45"/>
      <c r="B13" s="21"/>
      <c r="C13" s="22"/>
      <c r="D13" s="25"/>
      <c r="E13" s="26" t="s">
        <v>48</v>
      </c>
      <c r="F13" s="27"/>
      <c r="G13" s="27"/>
      <c r="H13" s="27">
        <v>34594</v>
      </c>
      <c r="I13" s="31">
        <f t="shared" si="4"/>
        <v>311346</v>
      </c>
      <c r="J13" s="27">
        <v>345940</v>
      </c>
    </row>
    <row r="14" spans="1:11" ht="16.5" customHeight="1">
      <c r="A14" s="45"/>
      <c r="B14" s="21"/>
      <c r="C14" s="22"/>
      <c r="D14" s="25"/>
      <c r="E14" s="26" t="s">
        <v>49</v>
      </c>
      <c r="F14" s="27"/>
      <c r="G14" s="27"/>
      <c r="H14" s="27">
        <v>175494</v>
      </c>
      <c r="I14" s="31">
        <f t="shared" si="4"/>
        <v>15724506</v>
      </c>
      <c r="J14" s="27">
        <v>15900000</v>
      </c>
    </row>
    <row r="15" spans="1:11" ht="16.5" customHeight="1">
      <c r="A15" s="45"/>
      <c r="B15" s="21"/>
      <c r="C15" s="22"/>
      <c r="D15" s="25"/>
      <c r="E15" s="26" t="s">
        <v>50</v>
      </c>
      <c r="F15" s="27"/>
      <c r="G15" s="27"/>
      <c r="H15" s="27"/>
      <c r="I15" s="31">
        <f t="shared" si="4"/>
        <v>5350000</v>
      </c>
      <c r="J15" s="27">
        <v>5350000</v>
      </c>
    </row>
    <row r="16" spans="1:11" ht="16.5" customHeight="1">
      <c r="A16" s="45"/>
      <c r="B16" s="21"/>
      <c r="C16" s="22"/>
      <c r="D16" s="25"/>
      <c r="E16" s="26" t="s">
        <v>51</v>
      </c>
      <c r="F16" s="27"/>
      <c r="G16" s="27"/>
      <c r="H16" s="27"/>
      <c r="I16" s="31">
        <f t="shared" si="4"/>
        <v>703022</v>
      </c>
      <c r="J16" s="27">
        <v>703022</v>
      </c>
    </row>
    <row r="17" spans="1:11" ht="16.5" customHeight="1">
      <c r="A17" s="45"/>
      <c r="B17" s="21"/>
      <c r="C17" s="22"/>
      <c r="D17" s="25"/>
      <c r="E17" s="26" t="s">
        <v>52</v>
      </c>
      <c r="F17" s="27"/>
      <c r="G17" s="27">
        <v>900000</v>
      </c>
      <c r="H17" s="27">
        <v>87250</v>
      </c>
      <c r="I17" s="31">
        <f t="shared" si="4"/>
        <v>40202</v>
      </c>
      <c r="J17" s="27">
        <v>1027452</v>
      </c>
    </row>
    <row r="18" spans="1:11" ht="16.5" customHeight="1">
      <c r="A18" s="45"/>
      <c r="B18" s="21"/>
      <c r="C18" s="22"/>
      <c r="D18" s="25"/>
      <c r="E18" s="26" t="s">
        <v>53</v>
      </c>
      <c r="F18" s="27"/>
      <c r="G18" s="27"/>
      <c r="H18" s="27"/>
      <c r="I18" s="31">
        <f t="shared" si="4"/>
        <v>452200</v>
      </c>
      <c r="J18" s="27">
        <v>452200</v>
      </c>
    </row>
    <row r="19" spans="1:11" ht="16.5" customHeight="1">
      <c r="A19" s="45"/>
      <c r="B19" s="21"/>
      <c r="C19" s="22"/>
      <c r="D19" s="25"/>
      <c r="E19" s="26" t="s">
        <v>54</v>
      </c>
      <c r="F19" s="27"/>
      <c r="G19" s="27"/>
      <c r="H19" s="27"/>
      <c r="I19" s="31">
        <f t="shared" si="4"/>
        <v>420000</v>
      </c>
      <c r="J19" s="27">
        <v>420000</v>
      </c>
    </row>
    <row r="20" spans="1:11" ht="16.5" customHeight="1">
      <c r="A20" s="45"/>
      <c r="B20" s="21"/>
      <c r="C20" s="22"/>
      <c r="D20" s="25"/>
      <c r="E20" s="26" t="s">
        <v>55</v>
      </c>
      <c r="F20" s="27">
        <v>183461</v>
      </c>
      <c r="G20" s="27"/>
      <c r="H20" s="27"/>
      <c r="I20" s="31">
        <f t="shared" si="4"/>
        <v>636539</v>
      </c>
      <c r="J20" s="27">
        <v>820000</v>
      </c>
    </row>
    <row r="21" spans="1:11" ht="16.5" customHeight="1">
      <c r="A21" s="45"/>
      <c r="B21" s="21"/>
      <c r="C21" s="22"/>
      <c r="D21" s="25"/>
      <c r="E21" s="26" t="s">
        <v>56</v>
      </c>
      <c r="F21" s="27">
        <v>19000</v>
      </c>
      <c r="G21" s="27"/>
      <c r="H21" s="27"/>
      <c r="I21" s="31">
        <f t="shared" si="4"/>
        <v>9000</v>
      </c>
      <c r="J21" s="27">
        <v>28000</v>
      </c>
    </row>
    <row r="22" spans="1:11" ht="16.5" customHeight="1">
      <c r="A22" s="45"/>
      <c r="B22" s="21"/>
      <c r="C22" s="22"/>
      <c r="D22" s="25"/>
      <c r="E22" s="26" t="s">
        <v>57</v>
      </c>
      <c r="F22" s="27"/>
      <c r="G22" s="27"/>
      <c r="H22" s="27"/>
      <c r="I22" s="31">
        <f t="shared" si="4"/>
        <v>1360800</v>
      </c>
      <c r="J22" s="27">
        <v>1360800</v>
      </c>
    </row>
    <row r="23" spans="1:11" ht="16.5" customHeight="1">
      <c r="A23" s="45"/>
      <c r="B23" s="21"/>
      <c r="C23" s="22"/>
      <c r="D23" s="25"/>
      <c r="E23" s="26" t="s">
        <v>58</v>
      </c>
      <c r="F23" s="27"/>
      <c r="G23" s="27"/>
      <c r="H23" s="27"/>
      <c r="I23" s="31">
        <f t="shared" si="4"/>
        <v>361726</v>
      </c>
      <c r="J23" s="27">
        <v>361726</v>
      </c>
    </row>
    <row r="24" spans="1:11" ht="16.5" customHeight="1">
      <c r="A24" s="45"/>
      <c r="B24" s="21"/>
      <c r="C24" s="22"/>
      <c r="D24" s="25"/>
      <c r="E24" s="29" t="s">
        <v>59</v>
      </c>
      <c r="F24" s="30"/>
      <c r="G24" s="30"/>
      <c r="H24" s="30"/>
      <c r="I24" s="31">
        <f t="shared" si="4"/>
        <v>1852498</v>
      </c>
      <c r="J24" s="30">
        <v>1852498</v>
      </c>
    </row>
    <row r="25" spans="1:11" ht="16.5" customHeight="1">
      <c r="A25" s="45"/>
      <c r="B25" s="56" t="s">
        <v>25</v>
      </c>
      <c r="C25" s="32" t="s">
        <v>70</v>
      </c>
      <c r="D25" s="33">
        <f>SUM(J25)</f>
        <v>99734516</v>
      </c>
      <c r="E25" s="55" t="s">
        <v>91</v>
      </c>
      <c r="F25" s="24">
        <f>SUM(F26:F28)</f>
        <v>35029583</v>
      </c>
      <c r="G25" s="24">
        <f t="shared" ref="G25:J25" si="5">SUM(G26:G28)</f>
        <v>0</v>
      </c>
      <c r="H25" s="24">
        <f t="shared" si="5"/>
        <v>17252800</v>
      </c>
      <c r="I25" s="24">
        <f>SUM(I26:I28)</f>
        <v>47452133</v>
      </c>
      <c r="J25" s="24">
        <f t="shared" si="5"/>
        <v>99734516</v>
      </c>
      <c r="K25" s="58"/>
    </row>
    <row r="26" spans="1:11" ht="16.5" customHeight="1">
      <c r="A26" s="45"/>
      <c r="B26" s="21"/>
      <c r="C26" s="22"/>
      <c r="D26" s="25"/>
      <c r="E26" s="28" t="s">
        <v>60</v>
      </c>
      <c r="F26" s="27">
        <v>24986558</v>
      </c>
      <c r="G26" s="27"/>
      <c r="H26" s="27"/>
      <c r="I26" s="31">
        <f t="shared" si="4"/>
        <v>4979352</v>
      </c>
      <c r="J26" s="27">
        <v>29965910</v>
      </c>
    </row>
    <row r="27" spans="1:11" ht="16.5" customHeight="1">
      <c r="A27" s="45"/>
      <c r="B27" s="21"/>
      <c r="C27" s="22"/>
      <c r="D27" s="25"/>
      <c r="E27" s="28" t="s">
        <v>61</v>
      </c>
      <c r="F27" s="27">
        <v>10043025</v>
      </c>
      <c r="G27" s="27"/>
      <c r="H27" s="27">
        <v>17252800</v>
      </c>
      <c r="I27" s="31">
        <f t="shared" si="4"/>
        <v>42434643</v>
      </c>
      <c r="J27" s="27">
        <v>69730468</v>
      </c>
    </row>
    <row r="28" spans="1:11" ht="16.5" customHeight="1">
      <c r="A28" s="48"/>
      <c r="B28" s="34"/>
      <c r="C28" s="35"/>
      <c r="D28" s="36"/>
      <c r="E28" s="28" t="s">
        <v>62</v>
      </c>
      <c r="F28" s="27"/>
      <c r="G28" s="27"/>
      <c r="H28" s="27"/>
      <c r="I28" s="24">
        <f t="shared" si="4"/>
        <v>38138</v>
      </c>
      <c r="J28" s="27">
        <v>38138</v>
      </c>
    </row>
    <row r="29" spans="1:11" ht="16.5" customHeight="1">
      <c r="A29" s="45" t="s">
        <v>89</v>
      </c>
      <c r="B29" s="49"/>
      <c r="C29" s="50"/>
      <c r="D29" s="44">
        <f>SUM(D30,D32,D34)</f>
        <v>145703326</v>
      </c>
      <c r="E29" s="43" t="s">
        <v>90</v>
      </c>
      <c r="F29" s="44">
        <f t="shared" ref="F29:J29" si="6">SUM(F30,F32,F34)</f>
        <v>27781502</v>
      </c>
      <c r="G29" s="44">
        <f t="shared" si="6"/>
        <v>0</v>
      </c>
      <c r="H29" s="44">
        <f t="shared" si="6"/>
        <v>0</v>
      </c>
      <c r="I29" s="44">
        <f t="shared" si="6"/>
        <v>117921824</v>
      </c>
      <c r="J29" s="44">
        <f t="shared" si="6"/>
        <v>145703326</v>
      </c>
      <c r="K29" s="58"/>
    </row>
    <row r="30" spans="1:11" ht="16.5" customHeight="1">
      <c r="A30" s="45"/>
      <c r="B30" s="56" t="s">
        <v>19</v>
      </c>
      <c r="C30" s="37" t="s">
        <v>31</v>
      </c>
      <c r="D30" s="31">
        <f>SUM(J30)</f>
        <v>34979716</v>
      </c>
      <c r="E30" s="55" t="s">
        <v>91</v>
      </c>
      <c r="F30" s="24">
        <f>SUM(F31)</f>
        <v>17713286</v>
      </c>
      <c r="G30" s="24">
        <f t="shared" ref="G30:J30" si="7">SUM(G31)</f>
        <v>0</v>
      </c>
      <c r="H30" s="24">
        <f t="shared" si="7"/>
        <v>0</v>
      </c>
      <c r="I30" s="24">
        <f t="shared" si="7"/>
        <v>17266430</v>
      </c>
      <c r="J30" s="24">
        <f t="shared" si="7"/>
        <v>34979716</v>
      </c>
      <c r="K30" s="58"/>
    </row>
    <row r="31" spans="1:11" ht="16.5" customHeight="1">
      <c r="A31" s="45"/>
      <c r="B31" s="34"/>
      <c r="C31" s="38"/>
      <c r="D31" s="39"/>
      <c r="E31" s="26" t="s">
        <v>63</v>
      </c>
      <c r="F31" s="27">
        <v>17713286</v>
      </c>
      <c r="G31" s="27"/>
      <c r="H31" s="27"/>
      <c r="I31" s="31">
        <f t="shared" si="4"/>
        <v>17266430</v>
      </c>
      <c r="J31" s="27">
        <v>34979716</v>
      </c>
    </row>
    <row r="32" spans="1:11" ht="16.5" customHeight="1">
      <c r="A32" s="45"/>
      <c r="B32" s="56" t="s">
        <v>20</v>
      </c>
      <c r="C32" s="32" t="s">
        <v>32</v>
      </c>
      <c r="D32" s="31">
        <f>SUM(J32)</f>
        <v>45112397</v>
      </c>
      <c r="E32" s="55" t="s">
        <v>91</v>
      </c>
      <c r="F32" s="24">
        <f>SUM(F33)</f>
        <v>590625</v>
      </c>
      <c r="G32" s="24">
        <f>SUM(G33)</f>
        <v>0</v>
      </c>
      <c r="H32" s="24">
        <f t="shared" ref="H32:J32" si="8">SUM(H33)</f>
        <v>0</v>
      </c>
      <c r="I32" s="24">
        <f t="shared" si="8"/>
        <v>44521772</v>
      </c>
      <c r="J32" s="24">
        <f t="shared" si="8"/>
        <v>45112397</v>
      </c>
      <c r="K32" s="58"/>
    </row>
    <row r="33" spans="1:11" ht="16.5" customHeight="1">
      <c r="A33" s="45"/>
      <c r="B33" s="34"/>
      <c r="C33" s="35"/>
      <c r="D33" s="36"/>
      <c r="E33" s="26" t="s">
        <v>64</v>
      </c>
      <c r="F33" s="27">
        <v>590625</v>
      </c>
      <c r="G33" s="27"/>
      <c r="H33" s="27"/>
      <c r="I33" s="31">
        <f t="shared" ref="I33" si="9">J33-SUM(F33,G33,H33)</f>
        <v>44521772</v>
      </c>
      <c r="J33" s="27">
        <v>45112397</v>
      </c>
    </row>
    <row r="34" spans="1:11" ht="16.5" customHeight="1">
      <c r="A34" s="45"/>
      <c r="B34" s="57" t="s">
        <v>21</v>
      </c>
      <c r="C34" s="22" t="s">
        <v>33</v>
      </c>
      <c r="D34" s="23">
        <f>SUM(J34)</f>
        <v>65611213</v>
      </c>
      <c r="E34" s="55" t="s">
        <v>91</v>
      </c>
      <c r="F34" s="24">
        <f>SUM(F35:F36)</f>
        <v>9477591</v>
      </c>
      <c r="G34" s="24">
        <f t="shared" ref="G34:J34" si="10">SUM(G35:G36)</f>
        <v>0</v>
      </c>
      <c r="H34" s="24">
        <f t="shared" si="10"/>
        <v>0</v>
      </c>
      <c r="I34" s="24">
        <f t="shared" si="10"/>
        <v>56133622</v>
      </c>
      <c r="J34" s="24">
        <f t="shared" si="10"/>
        <v>65611213</v>
      </c>
      <c r="K34" s="58"/>
    </row>
    <row r="35" spans="1:11" ht="16.5" customHeight="1">
      <c r="A35" s="45"/>
      <c r="B35" s="21"/>
      <c r="C35" s="22" t="s">
        <v>67</v>
      </c>
      <c r="D35" s="25"/>
      <c r="E35" s="26" t="s">
        <v>65</v>
      </c>
      <c r="F35" s="27"/>
      <c r="G35" s="27"/>
      <c r="H35" s="27"/>
      <c r="I35" s="31">
        <f t="shared" ref="I35:I49" si="11">J35-SUM(F35,G35,H35)</f>
        <v>50689425</v>
      </c>
      <c r="J35" s="27">
        <v>50689425</v>
      </c>
    </row>
    <row r="36" spans="1:11" ht="16.5" customHeight="1">
      <c r="A36" s="48"/>
      <c r="B36" s="34"/>
      <c r="C36" s="35"/>
      <c r="D36" s="36"/>
      <c r="E36" s="26" t="s">
        <v>66</v>
      </c>
      <c r="F36" s="27">
        <v>9477591</v>
      </c>
      <c r="G36" s="27"/>
      <c r="H36" s="27"/>
      <c r="I36" s="24">
        <f t="shared" si="11"/>
        <v>5444197</v>
      </c>
      <c r="J36" s="27">
        <v>14921788</v>
      </c>
    </row>
    <row r="37" spans="1:11" ht="16.5" customHeight="1">
      <c r="A37" s="45" t="s">
        <v>18</v>
      </c>
      <c r="B37" s="51"/>
      <c r="C37" s="50"/>
      <c r="D37" s="44">
        <f>SUM(D38,D42,D45)</f>
        <v>31461772</v>
      </c>
      <c r="E37" s="43" t="s">
        <v>90</v>
      </c>
      <c r="F37" s="44">
        <f t="shared" ref="F37:J37" si="12">SUM(F38,F42,F45)</f>
        <v>1823000</v>
      </c>
      <c r="G37" s="44">
        <f t="shared" si="12"/>
        <v>0</v>
      </c>
      <c r="H37" s="44">
        <f t="shared" si="12"/>
        <v>12331118</v>
      </c>
      <c r="I37" s="44">
        <f t="shared" si="12"/>
        <v>17307654</v>
      </c>
      <c r="J37" s="44">
        <f t="shared" si="12"/>
        <v>31461772</v>
      </c>
      <c r="K37" s="58"/>
    </row>
    <row r="38" spans="1:11" ht="16.5" customHeight="1">
      <c r="A38" s="54"/>
      <c r="B38" s="56" t="s">
        <v>34</v>
      </c>
      <c r="C38" s="32" t="s">
        <v>37</v>
      </c>
      <c r="D38" s="33">
        <f>SUM(J38)</f>
        <v>8258712</v>
      </c>
      <c r="E38" s="55" t="s">
        <v>91</v>
      </c>
      <c r="F38" s="24">
        <f>SUM(F39:F41)</f>
        <v>1504000</v>
      </c>
      <c r="G38" s="24">
        <f t="shared" ref="G38:J38" si="13">SUM(G39:G41)</f>
        <v>0</v>
      </c>
      <c r="H38" s="24">
        <f t="shared" si="13"/>
        <v>5886562</v>
      </c>
      <c r="I38" s="24">
        <f t="shared" si="13"/>
        <v>868150</v>
      </c>
      <c r="J38" s="24">
        <f t="shared" si="13"/>
        <v>8258712</v>
      </c>
      <c r="K38" s="58"/>
    </row>
    <row r="39" spans="1:11" ht="16.5" customHeight="1">
      <c r="A39" s="45"/>
      <c r="B39" s="40"/>
      <c r="C39" s="22" t="s">
        <v>72</v>
      </c>
      <c r="D39" s="25"/>
      <c r="E39" s="28" t="s">
        <v>78</v>
      </c>
      <c r="F39" s="27">
        <v>484000</v>
      </c>
      <c r="G39" s="27"/>
      <c r="H39" s="27">
        <v>138571</v>
      </c>
      <c r="I39" s="31">
        <f t="shared" si="11"/>
        <v>558710</v>
      </c>
      <c r="J39" s="27">
        <v>1181281</v>
      </c>
    </row>
    <row r="40" spans="1:11" ht="16.5" customHeight="1">
      <c r="A40" s="45"/>
      <c r="B40" s="40"/>
      <c r="C40" s="22" t="s">
        <v>73</v>
      </c>
      <c r="D40" s="25"/>
      <c r="E40" s="28" t="s">
        <v>79</v>
      </c>
      <c r="F40" s="27">
        <v>1020000</v>
      </c>
      <c r="G40" s="27"/>
      <c r="H40" s="27">
        <v>5747991</v>
      </c>
      <c r="I40" s="31">
        <f t="shared" si="11"/>
        <v>309440</v>
      </c>
      <c r="J40" s="27">
        <v>7077431</v>
      </c>
    </row>
    <row r="41" spans="1:11" ht="16.5" customHeight="1">
      <c r="A41" s="45"/>
      <c r="B41" s="21"/>
      <c r="C41" s="22"/>
      <c r="D41" s="25"/>
      <c r="E41" s="28" t="s">
        <v>80</v>
      </c>
      <c r="F41" s="27"/>
      <c r="G41" s="27"/>
      <c r="H41" s="27"/>
      <c r="I41" s="31">
        <f t="shared" si="11"/>
        <v>0</v>
      </c>
      <c r="J41" s="27"/>
    </row>
    <row r="42" spans="1:11" ht="16.5" customHeight="1">
      <c r="A42" s="45"/>
      <c r="B42" s="56" t="s">
        <v>26</v>
      </c>
      <c r="C42" s="32" t="s">
        <v>35</v>
      </c>
      <c r="D42" s="33">
        <f>SUM(J42)</f>
        <v>6931468</v>
      </c>
      <c r="E42" s="55" t="s">
        <v>91</v>
      </c>
      <c r="F42" s="24">
        <f>SUM(F43:F44)</f>
        <v>0</v>
      </c>
      <c r="G42" s="24">
        <f t="shared" ref="G42:J42" si="14">SUM(G43:G44)</f>
        <v>0</v>
      </c>
      <c r="H42" s="24">
        <f t="shared" si="14"/>
        <v>150000</v>
      </c>
      <c r="I42" s="24">
        <f t="shared" si="14"/>
        <v>6781468</v>
      </c>
      <c r="J42" s="24">
        <f t="shared" si="14"/>
        <v>6931468</v>
      </c>
      <c r="K42" s="58"/>
    </row>
    <row r="43" spans="1:11" ht="16.5" customHeight="1">
      <c r="A43" s="45"/>
      <c r="B43" s="21"/>
      <c r="C43" s="22" t="s">
        <v>74</v>
      </c>
      <c r="D43" s="25"/>
      <c r="E43" s="28" t="s">
        <v>81</v>
      </c>
      <c r="F43" s="27"/>
      <c r="G43" s="27"/>
      <c r="H43" s="27"/>
      <c r="I43" s="31">
        <f t="shared" si="11"/>
        <v>368735</v>
      </c>
      <c r="J43" s="27">
        <v>368735</v>
      </c>
    </row>
    <row r="44" spans="1:11" ht="16.5" customHeight="1">
      <c r="A44" s="45"/>
      <c r="B44" s="34"/>
      <c r="C44" s="35"/>
      <c r="D44" s="36"/>
      <c r="E44" s="28" t="s">
        <v>82</v>
      </c>
      <c r="F44" s="27"/>
      <c r="G44" s="27"/>
      <c r="H44" s="27">
        <v>150000</v>
      </c>
      <c r="I44" s="31">
        <f t="shared" si="11"/>
        <v>6412733</v>
      </c>
      <c r="J44" s="27">
        <v>6562733</v>
      </c>
    </row>
    <row r="45" spans="1:11" ht="16.5" customHeight="1">
      <c r="A45" s="45"/>
      <c r="B45" s="57" t="s">
        <v>27</v>
      </c>
      <c r="C45" s="22" t="s">
        <v>36</v>
      </c>
      <c r="D45" s="23">
        <f>SUM(J45)</f>
        <v>16271592</v>
      </c>
      <c r="E45" s="55" t="s">
        <v>91</v>
      </c>
      <c r="F45" s="24">
        <f>SUM(F46:F49)</f>
        <v>319000</v>
      </c>
      <c r="G45" s="24">
        <f t="shared" ref="G45:J45" si="15">SUM(G46:G49)</f>
        <v>0</v>
      </c>
      <c r="H45" s="24">
        <f t="shared" si="15"/>
        <v>6294556</v>
      </c>
      <c r="I45" s="24">
        <f t="shared" si="15"/>
        <v>9658036</v>
      </c>
      <c r="J45" s="24">
        <f t="shared" si="15"/>
        <v>16271592</v>
      </c>
      <c r="K45" s="58"/>
    </row>
    <row r="46" spans="1:11" ht="16.5" customHeight="1">
      <c r="A46" s="45"/>
      <c r="B46" s="21"/>
      <c r="C46" s="22" t="s">
        <v>75</v>
      </c>
      <c r="D46" s="25"/>
      <c r="E46" s="28" t="s">
        <v>83</v>
      </c>
      <c r="F46" s="27">
        <v>8000</v>
      </c>
      <c r="G46" s="27"/>
      <c r="H46" s="27">
        <v>869200</v>
      </c>
      <c r="I46" s="31">
        <f t="shared" si="11"/>
        <v>3016633</v>
      </c>
      <c r="J46" s="27">
        <v>3893833</v>
      </c>
    </row>
    <row r="47" spans="1:11" ht="16.5" customHeight="1">
      <c r="A47" s="45"/>
      <c r="B47" s="21"/>
      <c r="C47" s="22" t="s">
        <v>76</v>
      </c>
      <c r="D47" s="25"/>
      <c r="E47" s="28" t="s">
        <v>84</v>
      </c>
      <c r="F47" s="27"/>
      <c r="G47" s="27"/>
      <c r="H47" s="27"/>
      <c r="I47" s="31">
        <f t="shared" si="11"/>
        <v>2760989</v>
      </c>
      <c r="J47" s="27">
        <v>2760989</v>
      </c>
    </row>
    <row r="48" spans="1:11" ht="16.5" customHeight="1">
      <c r="A48" s="45"/>
      <c r="B48" s="21"/>
      <c r="C48" s="22" t="s">
        <v>77</v>
      </c>
      <c r="D48" s="25"/>
      <c r="E48" s="28" t="s">
        <v>85</v>
      </c>
      <c r="F48" s="27">
        <v>311000</v>
      </c>
      <c r="G48" s="27"/>
      <c r="H48" s="27">
        <v>5305356</v>
      </c>
      <c r="I48" s="31">
        <f t="shared" si="11"/>
        <v>2995414</v>
      </c>
      <c r="J48" s="27">
        <v>8611770</v>
      </c>
    </row>
    <row r="49" spans="1:11" ht="16.5" customHeight="1">
      <c r="A49" s="48"/>
      <c r="B49" s="34"/>
      <c r="C49" s="35"/>
      <c r="D49" s="36"/>
      <c r="E49" s="28" t="s">
        <v>86</v>
      </c>
      <c r="F49" s="27"/>
      <c r="G49" s="27"/>
      <c r="H49" s="27">
        <v>120000</v>
      </c>
      <c r="I49" s="24">
        <f t="shared" si="11"/>
        <v>885000</v>
      </c>
      <c r="J49" s="27">
        <v>1005000</v>
      </c>
    </row>
    <row r="50" spans="1:11" ht="16.5" customHeight="1">
      <c r="A50" s="164" t="s">
        <v>92</v>
      </c>
      <c r="B50" s="164"/>
      <c r="C50" s="164"/>
      <c r="D50" s="52">
        <f>SUM(D4,D29,D37)</f>
        <v>486109262</v>
      </c>
      <c r="E50" s="53"/>
      <c r="F50" s="52">
        <f>SUM(F4,F29,F37)</f>
        <v>182181948</v>
      </c>
      <c r="G50" s="52">
        <f t="shared" ref="G50:J50" si="16">SUM(G4,G29,G37)</f>
        <v>900000</v>
      </c>
      <c r="H50" s="52">
        <f t="shared" si="16"/>
        <v>32550211</v>
      </c>
      <c r="I50" s="52">
        <f t="shared" si="16"/>
        <v>270477103</v>
      </c>
      <c r="J50" s="52">
        <f t="shared" si="16"/>
        <v>486109262</v>
      </c>
      <c r="K50" s="58"/>
    </row>
  </sheetData>
  <mergeCells count="1">
    <mergeCell ref="A50:C50"/>
  </mergeCells>
  <phoneticPr fontId="2"/>
  <pageMargins left="0.7" right="0.7" top="0.75" bottom="0.75" header="0.3" footer="0.3"/>
  <pageSetup paperSize="9" scale="63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7"/>
  <sheetViews>
    <sheetView showGridLines="0" view="pageBreakPreview" topLeftCell="A25" zoomScale="60" zoomScaleNormal="70" workbookViewId="0">
      <selection activeCell="N31" sqref="N31"/>
    </sheetView>
  </sheetViews>
  <sheetFormatPr defaultRowHeight="29.25" customHeight="1"/>
  <cols>
    <col min="1" max="1" width="9.625" style="11" customWidth="1"/>
    <col min="2" max="8" width="19.25" style="1" customWidth="1"/>
    <col min="9" max="9" width="26.625" style="1" customWidth="1"/>
    <col min="10" max="10" width="19.25" style="1" customWidth="1"/>
    <col min="11" max="12" width="5.25" style="1" customWidth="1"/>
    <col min="13" max="15" width="15.75" style="1" customWidth="1"/>
    <col min="16" max="16" width="21.5" style="1" customWidth="1"/>
    <col min="17" max="16384" width="9" style="1"/>
  </cols>
  <sheetData>
    <row r="1" spans="1:16" ht="23.25" customHeight="1">
      <c r="B1" s="162" t="s">
        <v>38</v>
      </c>
      <c r="C1" s="162"/>
      <c r="D1" s="162"/>
      <c r="E1" s="162"/>
      <c r="F1" s="162"/>
      <c r="G1" s="162"/>
      <c r="H1" s="162"/>
      <c r="I1" s="162"/>
      <c r="J1" s="162"/>
    </row>
    <row r="2" spans="1:16" ht="23.25" customHeight="1">
      <c r="A2" s="12"/>
      <c r="B2" s="162"/>
      <c r="C2" s="162"/>
      <c r="D2" s="162"/>
      <c r="E2" s="162"/>
      <c r="F2" s="162"/>
      <c r="G2" s="162"/>
      <c r="H2" s="162"/>
      <c r="I2" s="162"/>
      <c r="J2" s="162"/>
    </row>
    <row r="3" spans="1:16" ht="23.25" customHeight="1"/>
    <row r="4" spans="1:16" s="7" customFormat="1" ht="23.25" customHeight="1">
      <c r="A4" s="11"/>
      <c r="B4" s="5" t="s">
        <v>0</v>
      </c>
      <c r="C4" s="6" t="s">
        <v>1</v>
      </c>
      <c r="D4" s="6"/>
      <c r="E4" s="6"/>
      <c r="F4" s="6"/>
      <c r="I4" s="4">
        <v>23337</v>
      </c>
    </row>
    <row r="5" spans="1:16" ht="23.25" customHeight="1">
      <c r="B5" s="2"/>
      <c r="C5" s="3"/>
      <c r="D5" s="3"/>
      <c r="E5" s="3"/>
      <c r="F5" s="3"/>
    </row>
    <row r="6" spans="1:16" s="7" customFormat="1" ht="23.25" customHeight="1">
      <c r="A6" s="11"/>
      <c r="B6" s="5" t="s">
        <v>2</v>
      </c>
      <c r="C6" s="6" t="s">
        <v>3</v>
      </c>
      <c r="D6" s="6"/>
      <c r="E6" s="6"/>
      <c r="F6" s="6"/>
      <c r="I6" s="4">
        <f>E24</f>
        <v>522380</v>
      </c>
    </row>
    <row r="7" spans="1:16" ht="23.25" customHeight="1"/>
    <row r="8" spans="1:16" ht="29.25" customHeight="1">
      <c r="B8" s="7" t="s">
        <v>4</v>
      </c>
      <c r="J8" s="8" t="s">
        <v>14</v>
      </c>
    </row>
    <row r="9" spans="1:16" s="7" customFormat="1" ht="29.25" customHeight="1">
      <c r="A9" s="11"/>
      <c r="B9" s="160" t="s">
        <v>5</v>
      </c>
      <c r="C9" s="160" t="s">
        <v>6</v>
      </c>
      <c r="D9" s="160"/>
      <c r="E9" s="163" t="s">
        <v>39</v>
      </c>
      <c r="F9" s="160" t="s">
        <v>13</v>
      </c>
      <c r="G9" s="160"/>
      <c r="H9" s="160"/>
      <c r="I9" s="160"/>
      <c r="J9" s="160"/>
    </row>
    <row r="10" spans="1:16" s="7" customFormat="1" ht="29.25" customHeight="1">
      <c r="A10" s="11"/>
      <c r="B10" s="160"/>
      <c r="C10" s="160"/>
      <c r="D10" s="160"/>
      <c r="E10" s="160"/>
      <c r="F10" s="160" t="s">
        <v>10</v>
      </c>
      <c r="G10" s="160"/>
      <c r="H10" s="160"/>
      <c r="I10" s="160" t="s">
        <v>11</v>
      </c>
      <c r="J10" s="160"/>
    </row>
    <row r="11" spans="1:16" s="7" customFormat="1" ht="41.25" customHeight="1">
      <c r="A11" s="11"/>
      <c r="B11" s="160"/>
      <c r="C11" s="160"/>
      <c r="D11" s="160"/>
      <c r="E11" s="160"/>
      <c r="F11" s="41" t="s">
        <v>7</v>
      </c>
      <c r="G11" s="41" t="s">
        <v>8</v>
      </c>
      <c r="H11" s="41" t="s">
        <v>9</v>
      </c>
      <c r="I11" s="61" t="s">
        <v>12</v>
      </c>
      <c r="J11" s="41" t="s">
        <v>9</v>
      </c>
      <c r="M11" s="10" t="s">
        <v>29</v>
      </c>
      <c r="N11" s="10" t="s">
        <v>29</v>
      </c>
    </row>
    <row r="12" spans="1:16" s="7" customFormat="1" ht="29.25" customHeight="1">
      <c r="A12" s="11"/>
      <c r="B12" s="160" t="s">
        <v>16</v>
      </c>
      <c r="C12" s="161" t="s">
        <v>28</v>
      </c>
      <c r="D12" s="161"/>
      <c r="E12" s="59">
        <v>164222</v>
      </c>
      <c r="F12" s="59">
        <v>116531</v>
      </c>
      <c r="G12" s="59"/>
      <c r="H12" s="59">
        <v>395</v>
      </c>
      <c r="I12" s="60">
        <f>ROUND(I24/M24*M12,0)</f>
        <v>3469</v>
      </c>
      <c r="J12" s="59">
        <f>E12-(F12+G12+H12+I12)</f>
        <v>43827</v>
      </c>
      <c r="M12" s="9">
        <f>E12-(SUM(F12,G12,H12))</f>
        <v>47296</v>
      </c>
      <c r="N12" s="9">
        <f>I12+J12</f>
        <v>47296</v>
      </c>
      <c r="O12" s="9">
        <f>M12-N12</f>
        <v>0</v>
      </c>
      <c r="P12" s="7">
        <f>M12/M24*I24</f>
        <v>3468.8291649643293</v>
      </c>
    </row>
    <row r="13" spans="1:16" s="7" customFormat="1" ht="29.25" customHeight="1">
      <c r="A13" s="11"/>
      <c r="B13" s="160"/>
      <c r="C13" s="161" t="s">
        <v>24</v>
      </c>
      <c r="D13" s="161"/>
      <c r="E13" s="59">
        <v>42163</v>
      </c>
      <c r="F13" s="59">
        <v>192</v>
      </c>
      <c r="G13" s="59">
        <v>1000</v>
      </c>
      <c r="H13" s="59">
        <v>759</v>
      </c>
      <c r="I13" s="60">
        <f>ROUND(I24/M24*M13,0)</f>
        <v>2949</v>
      </c>
      <c r="J13" s="59">
        <f>E13-(F13+G13+H13+I13)</f>
        <v>37263</v>
      </c>
      <c r="M13" s="9">
        <f t="shared" ref="M13:M23" si="0">E13-(SUM(F13,G13,H13))</f>
        <v>40212</v>
      </c>
      <c r="N13" s="9">
        <f t="shared" ref="N13:N23" si="1">I13+J13</f>
        <v>40212</v>
      </c>
      <c r="O13" s="9">
        <f t="shared" ref="O13:O24" si="2">M13-N13</f>
        <v>0</v>
      </c>
      <c r="P13" s="7">
        <f>M13/M24*I24</f>
        <v>2949.2675571199597</v>
      </c>
    </row>
    <row r="14" spans="1:16" s="7" customFormat="1" ht="29.25" customHeight="1">
      <c r="A14" s="11"/>
      <c r="B14" s="160"/>
      <c r="C14" s="161" t="s">
        <v>25</v>
      </c>
      <c r="D14" s="161"/>
      <c r="E14" s="59">
        <v>99460</v>
      </c>
      <c r="F14" s="59">
        <v>34091</v>
      </c>
      <c r="G14" s="59"/>
      <c r="H14" s="59">
        <v>10392</v>
      </c>
      <c r="I14" s="60">
        <f>ROUND(I24/M24*M14,0)</f>
        <v>4032</v>
      </c>
      <c r="J14" s="59">
        <f t="shared" ref="J14" si="3">E14-(F14+G14+H14+I14)</f>
        <v>50945</v>
      </c>
      <c r="M14" s="9">
        <f t="shared" si="0"/>
        <v>54977</v>
      </c>
      <c r="N14" s="9">
        <f t="shared" si="1"/>
        <v>54977</v>
      </c>
      <c r="O14" s="9">
        <f t="shared" si="2"/>
        <v>0</v>
      </c>
      <c r="P14" s="7">
        <f>M14/M24*I24</f>
        <v>4032.1765266036018</v>
      </c>
    </row>
    <row r="15" spans="1:16" s="7" customFormat="1" ht="29.25" customHeight="1">
      <c r="A15" s="11"/>
      <c r="B15" s="160"/>
      <c r="C15" s="160" t="s">
        <v>22</v>
      </c>
      <c r="D15" s="160"/>
      <c r="E15" s="59">
        <f t="shared" ref="E15:J15" si="4">SUM(E12:E14)</f>
        <v>305845</v>
      </c>
      <c r="F15" s="59">
        <f t="shared" si="4"/>
        <v>150814</v>
      </c>
      <c r="G15" s="59">
        <f t="shared" si="4"/>
        <v>1000</v>
      </c>
      <c r="H15" s="59">
        <f t="shared" si="4"/>
        <v>11546</v>
      </c>
      <c r="I15" s="60">
        <f t="shared" si="4"/>
        <v>10450</v>
      </c>
      <c r="J15" s="59">
        <f t="shared" si="4"/>
        <v>132035</v>
      </c>
      <c r="M15" s="9">
        <f t="shared" si="0"/>
        <v>142485</v>
      </c>
      <c r="N15" s="9">
        <f t="shared" si="1"/>
        <v>142485</v>
      </c>
      <c r="O15" s="9">
        <f t="shared" si="2"/>
        <v>0</v>
      </c>
      <c r="P15" s="7">
        <f>M15/M24*I24</f>
        <v>10450.27324868789</v>
      </c>
    </row>
    <row r="16" spans="1:16" s="7" customFormat="1" ht="29.25" customHeight="1">
      <c r="A16" s="11"/>
      <c r="B16" s="160" t="s">
        <v>17</v>
      </c>
      <c r="C16" s="161" t="s">
        <v>19</v>
      </c>
      <c r="D16" s="161"/>
      <c r="E16" s="59">
        <v>72247</v>
      </c>
      <c r="F16" s="59">
        <v>16203</v>
      </c>
      <c r="G16" s="59"/>
      <c r="H16" s="59"/>
      <c r="I16" s="60">
        <f>ROUND(I24/M24*M16,0)+1</f>
        <v>4111</v>
      </c>
      <c r="J16" s="59">
        <f>E16-(F16+G16+H16+I16)</f>
        <v>51933</v>
      </c>
      <c r="M16" s="9">
        <f t="shared" si="0"/>
        <v>56044</v>
      </c>
      <c r="N16" s="9">
        <f t="shared" si="1"/>
        <v>56044</v>
      </c>
      <c r="O16" s="9">
        <f t="shared" si="2"/>
        <v>0</v>
      </c>
      <c r="P16" s="7">
        <f>M16/M24*I24</f>
        <v>4110.4334768534527</v>
      </c>
    </row>
    <row r="17" spans="1:16" s="7" customFormat="1" ht="29.25" customHeight="1">
      <c r="A17" s="11"/>
      <c r="B17" s="160"/>
      <c r="C17" s="161" t="s">
        <v>20</v>
      </c>
      <c r="D17" s="161"/>
      <c r="E17" s="59">
        <v>45672</v>
      </c>
      <c r="F17" s="59">
        <v>599</v>
      </c>
      <c r="G17" s="59"/>
      <c r="H17" s="59"/>
      <c r="I17" s="60">
        <f>ROUND(I24/M24*M17,0)</f>
        <v>3306</v>
      </c>
      <c r="J17" s="59">
        <f t="shared" ref="J17:J18" si="5">E17-(F17+G17+H17+I17)</f>
        <v>41767</v>
      </c>
      <c r="M17" s="9">
        <f t="shared" si="0"/>
        <v>45073</v>
      </c>
      <c r="N17" s="9">
        <f t="shared" si="1"/>
        <v>45073</v>
      </c>
      <c r="O17" s="9">
        <f t="shared" si="2"/>
        <v>0</v>
      </c>
      <c r="P17" s="7">
        <f>M17/M24*I24</f>
        <v>3305.7877400295424</v>
      </c>
    </row>
    <row r="18" spans="1:16" s="7" customFormat="1" ht="29.25" customHeight="1">
      <c r="A18" s="11"/>
      <c r="B18" s="160"/>
      <c r="C18" s="161" t="s">
        <v>21</v>
      </c>
      <c r="D18" s="161"/>
      <c r="E18" s="59">
        <v>65429</v>
      </c>
      <c r="F18" s="59">
        <v>9522</v>
      </c>
      <c r="G18" s="59"/>
      <c r="H18" s="59"/>
      <c r="I18" s="60">
        <f>ROUND(I24/M24*M18,0)</f>
        <v>4100</v>
      </c>
      <c r="J18" s="59">
        <f t="shared" si="5"/>
        <v>51807</v>
      </c>
      <c r="M18" s="9">
        <f t="shared" si="0"/>
        <v>55907</v>
      </c>
      <c r="N18" s="9">
        <f t="shared" si="1"/>
        <v>55907</v>
      </c>
      <c r="O18" s="9">
        <f t="shared" si="2"/>
        <v>0</v>
      </c>
      <c r="P18" s="7">
        <f>M18/M24*I24</f>
        <v>4100.3854898016907</v>
      </c>
    </row>
    <row r="19" spans="1:16" s="7" customFormat="1" ht="29.25" customHeight="1">
      <c r="A19" s="11"/>
      <c r="B19" s="160"/>
      <c r="C19" s="160" t="s">
        <v>22</v>
      </c>
      <c r="D19" s="160"/>
      <c r="E19" s="59">
        <f>SUM(E16:E18)</f>
        <v>183348</v>
      </c>
      <c r="F19" s="59">
        <f t="shared" ref="F19:J19" si="6">SUM(F16:F18)</f>
        <v>26324</v>
      </c>
      <c r="G19" s="59">
        <f t="shared" si="6"/>
        <v>0</v>
      </c>
      <c r="H19" s="59">
        <f t="shared" si="6"/>
        <v>0</v>
      </c>
      <c r="I19" s="60">
        <f t="shared" si="6"/>
        <v>11517</v>
      </c>
      <c r="J19" s="59">
        <f t="shared" si="6"/>
        <v>145507</v>
      </c>
      <c r="M19" s="9">
        <f t="shared" si="0"/>
        <v>157024</v>
      </c>
      <c r="N19" s="9">
        <f t="shared" si="1"/>
        <v>157024</v>
      </c>
      <c r="O19" s="9">
        <f t="shared" si="2"/>
        <v>0</v>
      </c>
      <c r="P19" s="7">
        <f>M19/M24*I24</f>
        <v>11516.606706684684</v>
      </c>
    </row>
    <row r="20" spans="1:16" s="7" customFormat="1" ht="29.25" customHeight="1">
      <c r="A20" s="11"/>
      <c r="B20" s="160" t="s">
        <v>18</v>
      </c>
      <c r="C20" s="161" t="s">
        <v>23</v>
      </c>
      <c r="D20" s="161"/>
      <c r="E20" s="59">
        <v>9514</v>
      </c>
      <c r="F20" s="59">
        <v>1777</v>
      </c>
      <c r="G20" s="59"/>
      <c r="H20" s="59">
        <v>5788</v>
      </c>
      <c r="I20" s="60">
        <f>ROUND(I24/M24*M20,0)</f>
        <v>143</v>
      </c>
      <c r="J20" s="59">
        <f>E20-(F20+G20+H20+I20)</f>
        <v>1806</v>
      </c>
      <c r="M20" s="9">
        <f t="shared" si="0"/>
        <v>1949</v>
      </c>
      <c r="N20" s="9">
        <f t="shared" si="1"/>
        <v>1949</v>
      </c>
      <c r="O20" s="9">
        <f t="shared" si="2"/>
        <v>0</v>
      </c>
      <c r="P20" s="7">
        <f>M20/M24*I24</f>
        <v>142.94545083126434</v>
      </c>
    </row>
    <row r="21" spans="1:16" s="7" customFormat="1" ht="29.25" customHeight="1">
      <c r="A21" s="11"/>
      <c r="B21" s="160"/>
      <c r="C21" s="161" t="s">
        <v>26</v>
      </c>
      <c r="D21" s="161"/>
      <c r="E21" s="59">
        <v>6505</v>
      </c>
      <c r="F21" s="59"/>
      <c r="G21" s="59"/>
      <c r="H21" s="59">
        <v>150</v>
      </c>
      <c r="I21" s="60">
        <f>ROUND(I24/M24*M21,0)</f>
        <v>466</v>
      </c>
      <c r="J21" s="59">
        <f>E21-(F21+G21+H21+I21)</f>
        <v>5889</v>
      </c>
      <c r="M21" s="9">
        <f t="shared" si="0"/>
        <v>6355</v>
      </c>
      <c r="N21" s="9">
        <f t="shared" si="1"/>
        <v>6355</v>
      </c>
      <c r="O21" s="9">
        <f t="shared" si="2"/>
        <v>0</v>
      </c>
      <c r="P21" s="7">
        <f>M21/M24*I24</f>
        <v>466.0945818536095</v>
      </c>
    </row>
    <row r="22" spans="1:16" s="7" customFormat="1" ht="29.25" customHeight="1">
      <c r="A22" s="11"/>
      <c r="B22" s="160"/>
      <c r="C22" s="161" t="s">
        <v>27</v>
      </c>
      <c r="D22" s="161"/>
      <c r="E22" s="59">
        <v>17168</v>
      </c>
      <c r="F22" s="59">
        <v>341</v>
      </c>
      <c r="G22" s="59"/>
      <c r="H22" s="59">
        <v>6450</v>
      </c>
      <c r="I22" s="60">
        <f>ROUND(I24/M24*M22,0)</f>
        <v>761</v>
      </c>
      <c r="J22" s="59">
        <f t="shared" ref="J22" si="7">E22-(F22+G22+H22+I22)</f>
        <v>9616</v>
      </c>
      <c r="M22" s="9">
        <f t="shared" si="0"/>
        <v>10377</v>
      </c>
      <c r="N22" s="9">
        <f t="shared" si="1"/>
        <v>10377</v>
      </c>
      <c r="O22" s="9">
        <f t="shared" si="2"/>
        <v>0</v>
      </c>
      <c r="P22" s="7">
        <f>M22/M24*I24</f>
        <v>761.08001194255007</v>
      </c>
    </row>
    <row r="23" spans="1:16" s="7" customFormat="1" ht="29.25" customHeight="1">
      <c r="A23" s="11"/>
      <c r="B23" s="160"/>
      <c r="C23" s="160" t="s">
        <v>22</v>
      </c>
      <c r="D23" s="160"/>
      <c r="E23" s="59">
        <f>SUM(E20:E22)</f>
        <v>33187</v>
      </c>
      <c r="F23" s="59">
        <f t="shared" ref="F23:I23" si="8">SUM(F20:F22)</f>
        <v>2118</v>
      </c>
      <c r="G23" s="59">
        <f t="shared" si="8"/>
        <v>0</v>
      </c>
      <c r="H23" s="59">
        <f t="shared" si="8"/>
        <v>12388</v>
      </c>
      <c r="I23" s="60">
        <f t="shared" si="8"/>
        <v>1370</v>
      </c>
      <c r="J23" s="59">
        <f>SUM(J20:J22)</f>
        <v>17311</v>
      </c>
      <c r="M23" s="9">
        <f t="shared" si="0"/>
        <v>18681</v>
      </c>
      <c r="N23" s="9">
        <f t="shared" si="1"/>
        <v>18681</v>
      </c>
      <c r="O23" s="9">
        <f t="shared" si="2"/>
        <v>0</v>
      </c>
      <c r="P23" s="7">
        <f>M23/M24*I24</f>
        <v>1370.1200446274238</v>
      </c>
    </row>
    <row r="24" spans="1:16" s="7" customFormat="1" ht="29.25" customHeight="1">
      <c r="A24" s="11"/>
      <c r="B24" s="160" t="s">
        <v>15</v>
      </c>
      <c r="C24" s="160"/>
      <c r="D24" s="160"/>
      <c r="E24" s="59">
        <f>SUM(E23,E19,E15)</f>
        <v>522380</v>
      </c>
      <c r="F24" s="59">
        <f t="shared" ref="F24:H24" si="9">SUM(F23,F19,F15)</f>
        <v>179256</v>
      </c>
      <c r="G24" s="59">
        <f t="shared" si="9"/>
        <v>1000</v>
      </c>
      <c r="H24" s="59">
        <f t="shared" si="9"/>
        <v>23934</v>
      </c>
      <c r="I24" s="60">
        <f>I4</f>
        <v>23337</v>
      </c>
      <c r="J24" s="59">
        <f>SUM(J23,J19,J15)</f>
        <v>294853</v>
      </c>
      <c r="M24" s="9">
        <f>E24-(SUM(F24,G24,H24))</f>
        <v>318190</v>
      </c>
      <c r="N24" s="9">
        <f>I24+J24</f>
        <v>318190</v>
      </c>
      <c r="O24" s="9">
        <f t="shared" si="2"/>
        <v>0</v>
      </c>
      <c r="P24" s="7">
        <f>M24/M24*I24</f>
        <v>23337</v>
      </c>
    </row>
    <row r="25" spans="1:16" ht="29.25" customHeight="1">
      <c r="B25" s="7" t="s">
        <v>30</v>
      </c>
    </row>
    <row r="26" spans="1:16" ht="21.75" customHeight="1">
      <c r="I26" s="9"/>
      <c r="J26" s="9"/>
    </row>
    <row r="27" spans="1:16" ht="21.75" customHeight="1"/>
  </sheetData>
  <mergeCells count="23">
    <mergeCell ref="B24:D24"/>
    <mergeCell ref="B12:B15"/>
    <mergeCell ref="C12:D12"/>
    <mergeCell ref="C13:D13"/>
    <mergeCell ref="C14:D14"/>
    <mergeCell ref="C15:D15"/>
    <mergeCell ref="B16:B19"/>
    <mergeCell ref="C16:D16"/>
    <mergeCell ref="C17:D17"/>
    <mergeCell ref="C18:D18"/>
    <mergeCell ref="C19:D19"/>
    <mergeCell ref="B20:B23"/>
    <mergeCell ref="C20:D20"/>
    <mergeCell ref="C21:D21"/>
    <mergeCell ref="C22:D22"/>
    <mergeCell ref="C23:D23"/>
    <mergeCell ref="B1:J2"/>
    <mergeCell ref="B9:B11"/>
    <mergeCell ref="C9:D11"/>
    <mergeCell ref="E9:E11"/>
    <mergeCell ref="F9:J9"/>
    <mergeCell ref="F10:H10"/>
    <mergeCell ref="I10:J10"/>
  </mergeCells>
  <phoneticPr fontId="2"/>
  <pageMargins left="0.19685039370078741" right="0.70866141732283472" top="0.74803149606299213" bottom="0.74803149606299213" header="0.31496062992125984" footer="0.31496062992125984"/>
  <pageSetup paperSize="9" scale="70" fitToHeight="0" orientation="landscape" r:id="rId1"/>
  <ignoredErrors>
    <ignoredError sqref="J15 J19 I24" formula="1"/>
  </ignoredError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topLeftCell="B1" zoomScale="80" zoomScaleNormal="80" workbookViewId="0">
      <selection activeCell="N31" sqref="N31"/>
    </sheetView>
  </sheetViews>
  <sheetFormatPr defaultRowHeight="16.5" customHeight="1"/>
  <cols>
    <col min="1" max="1" width="10.75" style="1" customWidth="1"/>
    <col min="2" max="2" width="22.875" style="1" customWidth="1"/>
    <col min="3" max="3" width="47.375" style="14" customWidth="1"/>
    <col min="4" max="4" width="13.75" style="15" customWidth="1"/>
    <col min="5" max="5" width="42.375" style="1" customWidth="1"/>
    <col min="6" max="9" width="13.5" style="15" customWidth="1"/>
    <col min="10" max="10" width="15.75" style="15" customWidth="1"/>
    <col min="11" max="16384" width="9" style="1"/>
  </cols>
  <sheetData>
    <row r="1" spans="1:11" ht="16.5" customHeight="1">
      <c r="A1" s="13" t="s">
        <v>88</v>
      </c>
    </row>
    <row r="2" spans="1:11" ht="16.5" customHeight="1">
      <c r="J2" s="16" t="s">
        <v>87</v>
      </c>
    </row>
    <row r="3" spans="1:11" ht="16.5" customHeight="1">
      <c r="A3" s="17" t="s">
        <v>5</v>
      </c>
      <c r="B3" s="17" t="s">
        <v>6</v>
      </c>
      <c r="C3" s="18" t="s">
        <v>71</v>
      </c>
      <c r="D3" s="19" t="s">
        <v>46</v>
      </c>
      <c r="E3" s="17" t="s">
        <v>6</v>
      </c>
      <c r="F3" s="19" t="s">
        <v>7</v>
      </c>
      <c r="G3" s="19" t="s">
        <v>8</v>
      </c>
      <c r="H3" s="19" t="s">
        <v>9</v>
      </c>
      <c r="I3" s="19" t="s">
        <v>11</v>
      </c>
      <c r="J3" s="20" t="s">
        <v>44</v>
      </c>
    </row>
    <row r="4" spans="1:11" ht="16.5" customHeight="1">
      <c r="A4" s="45" t="s">
        <v>16</v>
      </c>
      <c r="B4" s="46"/>
      <c r="C4" s="47"/>
      <c r="D4" s="42">
        <f>SUM(D5,D11,D25)</f>
        <v>305844922</v>
      </c>
      <c r="E4" s="43" t="s">
        <v>90</v>
      </c>
      <c r="F4" s="42">
        <f>SUM(F5,F11,F25)</f>
        <v>150814463</v>
      </c>
      <c r="G4" s="42">
        <f t="shared" ref="G4:J4" si="0">SUM(G5,G11,G25)</f>
        <v>1000000</v>
      </c>
      <c r="H4" s="42">
        <f t="shared" si="0"/>
        <v>11545778</v>
      </c>
      <c r="I4" s="42">
        <f t="shared" si="0"/>
        <v>142484681</v>
      </c>
      <c r="J4" s="42">
        <f t="shared" si="0"/>
        <v>305844922</v>
      </c>
      <c r="K4" s="58"/>
    </row>
    <row r="5" spans="1:11" ht="16.5" customHeight="1">
      <c r="A5" s="45"/>
      <c r="B5" s="56" t="s">
        <v>28</v>
      </c>
      <c r="C5" s="32" t="s">
        <v>68</v>
      </c>
      <c r="D5" s="33">
        <f>SUM(J5)</f>
        <v>164222472</v>
      </c>
      <c r="E5" s="55" t="s">
        <v>91</v>
      </c>
      <c r="F5" s="24">
        <f>SUM(F6:F10)</f>
        <v>116531495</v>
      </c>
      <c r="G5" s="24">
        <f>SUM(G6:G10)</f>
        <v>0</v>
      </c>
      <c r="H5" s="24">
        <f>SUM(H6:H10)</f>
        <v>394812</v>
      </c>
      <c r="I5" s="24">
        <f t="shared" ref="I5:J5" si="1">SUM(I6:I10)</f>
        <v>47296165</v>
      </c>
      <c r="J5" s="24">
        <f t="shared" si="1"/>
        <v>164222472</v>
      </c>
      <c r="K5" s="58"/>
    </row>
    <row r="6" spans="1:11" ht="16.5" customHeight="1">
      <c r="A6" s="45"/>
      <c r="B6" s="21"/>
      <c r="C6" s="22"/>
      <c r="D6" s="25"/>
      <c r="E6" s="26" t="s">
        <v>40</v>
      </c>
      <c r="F6" s="27">
        <v>2441000</v>
      </c>
      <c r="G6" s="27"/>
      <c r="H6" s="27">
        <v>394812</v>
      </c>
      <c r="I6" s="24">
        <f>J6-SUM(F6,G6,H6)</f>
        <v>2487787</v>
      </c>
      <c r="J6" s="27">
        <v>5323599</v>
      </c>
    </row>
    <row r="7" spans="1:11" ht="16.5" customHeight="1">
      <c r="A7" s="45"/>
      <c r="B7" s="21"/>
      <c r="C7" s="22"/>
      <c r="D7" s="25"/>
      <c r="E7" s="26" t="s">
        <v>45</v>
      </c>
      <c r="F7" s="27"/>
      <c r="G7" s="27"/>
      <c r="H7" s="27"/>
      <c r="I7" s="24">
        <f>J7-SUM(F7,G7,H7)</f>
        <v>43428</v>
      </c>
      <c r="J7" s="27">
        <v>43428</v>
      </c>
    </row>
    <row r="8" spans="1:11" ht="16.5" customHeight="1">
      <c r="A8" s="45"/>
      <c r="B8" s="21"/>
      <c r="C8" s="22"/>
      <c r="D8" s="25"/>
      <c r="E8" s="28" t="s">
        <v>41</v>
      </c>
      <c r="F8" s="27">
        <v>111349995</v>
      </c>
      <c r="G8" s="27"/>
      <c r="H8" s="27"/>
      <c r="I8" s="24">
        <f t="shared" ref="I8:I9" si="2">J8-SUM(F8,G8,H8)</f>
        <v>37113373</v>
      </c>
      <c r="J8" s="27">
        <v>148463368</v>
      </c>
    </row>
    <row r="9" spans="1:11" ht="16.5" customHeight="1">
      <c r="A9" s="45"/>
      <c r="B9" s="21"/>
      <c r="C9" s="22"/>
      <c r="D9" s="25"/>
      <c r="E9" s="26" t="s">
        <v>42</v>
      </c>
      <c r="F9" s="27">
        <v>1177500</v>
      </c>
      <c r="G9" s="27"/>
      <c r="H9" s="27"/>
      <c r="I9" s="24">
        <f t="shared" si="2"/>
        <v>176467</v>
      </c>
      <c r="J9" s="27">
        <v>1353967</v>
      </c>
    </row>
    <row r="10" spans="1:11" ht="16.5" customHeight="1">
      <c r="A10" s="45"/>
      <c r="B10" s="21"/>
      <c r="C10" s="22"/>
      <c r="D10" s="25"/>
      <c r="E10" s="29" t="s">
        <v>43</v>
      </c>
      <c r="F10" s="30">
        <v>1563000</v>
      </c>
      <c r="G10" s="30"/>
      <c r="H10" s="30"/>
      <c r="I10" s="31">
        <f>J10-SUM(F10,G10,H10)</f>
        <v>7475110</v>
      </c>
      <c r="J10" s="30">
        <v>9038110</v>
      </c>
    </row>
    <row r="11" spans="1:11" ht="16.5" customHeight="1">
      <c r="A11" s="45"/>
      <c r="B11" s="56" t="s">
        <v>24</v>
      </c>
      <c r="C11" s="32" t="s">
        <v>69</v>
      </c>
      <c r="D11" s="33">
        <f>SUM(J11)</f>
        <v>42162762</v>
      </c>
      <c r="E11" s="55" t="s">
        <v>91</v>
      </c>
      <c r="F11" s="24">
        <f>SUM(F12:F24)</f>
        <v>192136</v>
      </c>
      <c r="G11" s="24">
        <f t="shared" ref="G11:J11" si="3">SUM(G12:G24)</f>
        <v>1000000</v>
      </c>
      <c r="H11" s="24">
        <f t="shared" si="3"/>
        <v>759366</v>
      </c>
      <c r="I11" s="24">
        <f t="shared" si="3"/>
        <v>40211260</v>
      </c>
      <c r="J11" s="24">
        <f t="shared" si="3"/>
        <v>42162762</v>
      </c>
      <c r="K11" s="58"/>
    </row>
    <row r="12" spans="1:11" ht="16.5" customHeight="1">
      <c r="A12" s="45"/>
      <c r="B12" s="21"/>
      <c r="C12" s="22"/>
      <c r="D12" s="25"/>
      <c r="E12" s="26" t="s">
        <v>47</v>
      </c>
      <c r="F12" s="27"/>
      <c r="G12" s="27"/>
      <c r="H12" s="27">
        <v>373032</v>
      </c>
      <c r="I12" s="31">
        <f t="shared" ref="I12:I31" si="4">J12-SUM(F12,G12,H12)</f>
        <v>15423730</v>
      </c>
      <c r="J12" s="27">
        <v>15796762</v>
      </c>
    </row>
    <row r="13" spans="1:11" ht="16.5" customHeight="1">
      <c r="A13" s="45"/>
      <c r="B13" s="21"/>
      <c r="C13" s="22"/>
      <c r="D13" s="25"/>
      <c r="E13" s="26" t="s">
        <v>48</v>
      </c>
      <c r="F13" s="27"/>
      <c r="G13" s="27"/>
      <c r="H13" s="27">
        <v>17248</v>
      </c>
      <c r="I13" s="31">
        <f t="shared" si="4"/>
        <v>155232</v>
      </c>
      <c r="J13" s="27">
        <v>172480</v>
      </c>
    </row>
    <row r="14" spans="1:11" ht="16.5" customHeight="1">
      <c r="A14" s="45"/>
      <c r="B14" s="21"/>
      <c r="C14" s="22"/>
      <c r="D14" s="25"/>
      <c r="E14" s="26" t="s">
        <v>49</v>
      </c>
      <c r="F14" s="27"/>
      <c r="G14" s="27"/>
      <c r="H14" s="27">
        <v>164217</v>
      </c>
      <c r="I14" s="31">
        <f t="shared" si="4"/>
        <v>14982755</v>
      </c>
      <c r="J14" s="27">
        <v>15146972</v>
      </c>
    </row>
    <row r="15" spans="1:11" ht="16.5" customHeight="1">
      <c r="A15" s="45"/>
      <c r="B15" s="21"/>
      <c r="C15" s="22"/>
      <c r="D15" s="25"/>
      <c r="E15" s="26" t="s">
        <v>50</v>
      </c>
      <c r="F15" s="27"/>
      <c r="G15" s="27"/>
      <c r="H15" s="27">
        <v>4636</v>
      </c>
      <c r="I15" s="31">
        <f t="shared" si="4"/>
        <v>3795364</v>
      </c>
      <c r="J15" s="27">
        <v>3800000</v>
      </c>
    </row>
    <row r="16" spans="1:11" ht="16.5" customHeight="1">
      <c r="A16" s="45"/>
      <c r="B16" s="21"/>
      <c r="C16" s="22"/>
      <c r="D16" s="25"/>
      <c r="E16" s="26" t="s">
        <v>51</v>
      </c>
      <c r="F16" s="27"/>
      <c r="G16" s="27"/>
      <c r="H16" s="27"/>
      <c r="I16" s="31">
        <f t="shared" si="4"/>
        <v>636431</v>
      </c>
      <c r="J16" s="27">
        <v>636431</v>
      </c>
    </row>
    <row r="17" spans="1:11" ht="16.5" customHeight="1">
      <c r="A17" s="45"/>
      <c r="B17" s="21"/>
      <c r="C17" s="22"/>
      <c r="D17" s="25"/>
      <c r="E17" s="26" t="s">
        <v>52</v>
      </c>
      <c r="F17" s="27"/>
      <c r="G17" s="27">
        <v>1000000</v>
      </c>
      <c r="H17" s="27">
        <v>100750</v>
      </c>
      <c r="I17" s="31">
        <f t="shared" si="4"/>
        <v>44352</v>
      </c>
      <c r="J17" s="27">
        <v>1145102</v>
      </c>
    </row>
    <row r="18" spans="1:11" ht="16.5" customHeight="1">
      <c r="A18" s="45"/>
      <c r="B18" s="21"/>
      <c r="C18" s="22"/>
      <c r="D18" s="25"/>
      <c r="E18" s="26" t="s">
        <v>53</v>
      </c>
      <c r="F18" s="27"/>
      <c r="G18" s="27"/>
      <c r="H18" s="27"/>
      <c r="I18" s="31">
        <f t="shared" si="4"/>
        <v>623258</v>
      </c>
      <c r="J18" s="27">
        <v>623258</v>
      </c>
    </row>
    <row r="19" spans="1:11" ht="16.5" customHeight="1">
      <c r="A19" s="45"/>
      <c r="B19" s="21"/>
      <c r="C19" s="22"/>
      <c r="D19" s="25"/>
      <c r="E19" s="26" t="s">
        <v>54</v>
      </c>
      <c r="F19" s="27"/>
      <c r="G19" s="27"/>
      <c r="H19" s="27"/>
      <c r="I19" s="31">
        <f t="shared" si="4"/>
        <v>250000</v>
      </c>
      <c r="J19" s="27">
        <v>250000</v>
      </c>
    </row>
    <row r="20" spans="1:11" ht="16.5" customHeight="1">
      <c r="A20" s="45"/>
      <c r="B20" s="21"/>
      <c r="C20" s="22"/>
      <c r="D20" s="25"/>
      <c r="E20" s="26" t="s">
        <v>55</v>
      </c>
      <c r="F20" s="27">
        <v>180136</v>
      </c>
      <c r="G20" s="27"/>
      <c r="H20" s="27"/>
      <c r="I20" s="31">
        <f t="shared" si="4"/>
        <v>619864</v>
      </c>
      <c r="J20" s="27">
        <v>800000</v>
      </c>
    </row>
    <row r="21" spans="1:11" ht="16.5" customHeight="1">
      <c r="A21" s="45"/>
      <c r="B21" s="21"/>
      <c r="C21" s="22"/>
      <c r="D21" s="25"/>
      <c r="E21" s="26" t="s">
        <v>56</v>
      </c>
      <c r="F21" s="27">
        <v>12000</v>
      </c>
      <c r="G21" s="27"/>
      <c r="H21" s="27"/>
      <c r="I21" s="31">
        <f t="shared" si="4"/>
        <v>4000</v>
      </c>
      <c r="J21" s="27">
        <v>16000</v>
      </c>
    </row>
    <row r="22" spans="1:11" ht="16.5" customHeight="1">
      <c r="A22" s="45"/>
      <c r="B22" s="21"/>
      <c r="C22" s="22"/>
      <c r="D22" s="25"/>
      <c r="E22" s="26" t="s">
        <v>57</v>
      </c>
      <c r="F22" s="27"/>
      <c r="G22" s="27"/>
      <c r="H22" s="27"/>
      <c r="I22" s="31">
        <f t="shared" si="4"/>
        <v>1360800</v>
      </c>
      <c r="J22" s="27">
        <v>1360800</v>
      </c>
    </row>
    <row r="23" spans="1:11" ht="16.5" customHeight="1">
      <c r="A23" s="45"/>
      <c r="B23" s="21"/>
      <c r="C23" s="22"/>
      <c r="D23" s="25"/>
      <c r="E23" s="26" t="s">
        <v>58</v>
      </c>
      <c r="F23" s="27"/>
      <c r="G23" s="27"/>
      <c r="H23" s="27"/>
      <c r="I23" s="31">
        <f t="shared" si="4"/>
        <v>316305</v>
      </c>
      <c r="J23" s="27">
        <v>316305</v>
      </c>
    </row>
    <row r="24" spans="1:11" ht="16.5" customHeight="1">
      <c r="A24" s="45"/>
      <c r="B24" s="21"/>
      <c r="C24" s="22"/>
      <c r="D24" s="25"/>
      <c r="E24" s="29" t="s">
        <v>59</v>
      </c>
      <c r="F24" s="30"/>
      <c r="G24" s="30"/>
      <c r="H24" s="30">
        <v>99483</v>
      </c>
      <c r="I24" s="31">
        <f t="shared" si="4"/>
        <v>1999169</v>
      </c>
      <c r="J24" s="30">
        <v>2098652</v>
      </c>
    </row>
    <row r="25" spans="1:11" ht="16.5" customHeight="1">
      <c r="A25" s="45"/>
      <c r="B25" s="56" t="s">
        <v>25</v>
      </c>
      <c r="C25" s="32" t="s">
        <v>70</v>
      </c>
      <c r="D25" s="33">
        <f>SUM(J25)</f>
        <v>99459688</v>
      </c>
      <c r="E25" s="55" t="s">
        <v>91</v>
      </c>
      <c r="F25" s="24">
        <f>SUM(F26:F28)</f>
        <v>34090832</v>
      </c>
      <c r="G25" s="24">
        <f t="shared" ref="G25:J25" si="5">SUM(G26:G28)</f>
        <v>0</v>
      </c>
      <c r="H25" s="24">
        <f t="shared" si="5"/>
        <v>10391600</v>
      </c>
      <c r="I25" s="24">
        <f>SUM(I26:I28)</f>
        <v>54977256</v>
      </c>
      <c r="J25" s="24">
        <f t="shared" si="5"/>
        <v>99459688</v>
      </c>
      <c r="K25" s="58"/>
    </row>
    <row r="26" spans="1:11" ht="16.5" customHeight="1">
      <c r="A26" s="45"/>
      <c r="B26" s="21"/>
      <c r="C26" s="22"/>
      <c r="D26" s="25"/>
      <c r="E26" s="28" t="s">
        <v>60</v>
      </c>
      <c r="F26" s="27">
        <v>26291929</v>
      </c>
      <c r="G26" s="27"/>
      <c r="H26" s="27"/>
      <c r="I26" s="31">
        <f t="shared" si="4"/>
        <v>4938259</v>
      </c>
      <c r="J26" s="27">
        <v>31230188</v>
      </c>
    </row>
    <row r="27" spans="1:11" ht="16.5" customHeight="1">
      <c r="A27" s="45"/>
      <c r="B27" s="21"/>
      <c r="C27" s="22"/>
      <c r="D27" s="25"/>
      <c r="E27" s="28" t="s">
        <v>61</v>
      </c>
      <c r="F27" s="27">
        <v>7798903</v>
      </c>
      <c r="G27" s="27"/>
      <c r="H27" s="27">
        <v>10391600</v>
      </c>
      <c r="I27" s="31">
        <f t="shared" si="4"/>
        <v>49773098</v>
      </c>
      <c r="J27" s="27">
        <v>67963601</v>
      </c>
    </row>
    <row r="28" spans="1:11" ht="16.5" customHeight="1">
      <c r="A28" s="48"/>
      <c r="B28" s="34"/>
      <c r="C28" s="35"/>
      <c r="D28" s="36"/>
      <c r="E28" s="28" t="s">
        <v>62</v>
      </c>
      <c r="F28" s="27"/>
      <c r="G28" s="27"/>
      <c r="H28" s="27"/>
      <c r="I28" s="24">
        <f t="shared" si="4"/>
        <v>265899</v>
      </c>
      <c r="J28" s="27">
        <v>265899</v>
      </c>
    </row>
    <row r="29" spans="1:11" ht="16.5" customHeight="1">
      <c r="A29" s="45" t="s">
        <v>89</v>
      </c>
      <c r="B29" s="49"/>
      <c r="C29" s="50"/>
      <c r="D29" s="44">
        <f>SUM(D30,D32,D34)</f>
        <v>183347849</v>
      </c>
      <c r="E29" s="43" t="s">
        <v>90</v>
      </c>
      <c r="F29" s="44">
        <f t="shared" ref="F29:J29" si="6">SUM(F30,F32,F34)</f>
        <v>26323912</v>
      </c>
      <c r="G29" s="44">
        <f t="shared" si="6"/>
        <v>0</v>
      </c>
      <c r="H29" s="44">
        <f t="shared" si="6"/>
        <v>0</v>
      </c>
      <c r="I29" s="44">
        <f t="shared" si="6"/>
        <v>157023937</v>
      </c>
      <c r="J29" s="44">
        <f t="shared" si="6"/>
        <v>183347849</v>
      </c>
      <c r="K29" s="58"/>
    </row>
    <row r="30" spans="1:11" ht="16.5" customHeight="1">
      <c r="A30" s="45"/>
      <c r="B30" s="56" t="s">
        <v>19</v>
      </c>
      <c r="C30" s="37" t="s">
        <v>31</v>
      </c>
      <c r="D30" s="31">
        <f>SUM(J30)</f>
        <v>72247411</v>
      </c>
      <c r="E30" s="55" t="s">
        <v>91</v>
      </c>
      <c r="F30" s="24">
        <f>SUM(F31)</f>
        <v>16203307</v>
      </c>
      <c r="G30" s="24">
        <f t="shared" ref="G30:J30" si="7">SUM(G31)</f>
        <v>0</v>
      </c>
      <c r="H30" s="24">
        <f t="shared" si="7"/>
        <v>0</v>
      </c>
      <c r="I30" s="24">
        <f t="shared" si="7"/>
        <v>56044104</v>
      </c>
      <c r="J30" s="24">
        <f t="shared" si="7"/>
        <v>72247411</v>
      </c>
      <c r="K30" s="58"/>
    </row>
    <row r="31" spans="1:11" ht="16.5" customHeight="1">
      <c r="A31" s="45"/>
      <c r="B31" s="34"/>
      <c r="C31" s="38"/>
      <c r="D31" s="39"/>
      <c r="E31" s="26" t="s">
        <v>63</v>
      </c>
      <c r="F31" s="27">
        <v>16203307</v>
      </c>
      <c r="G31" s="27"/>
      <c r="H31" s="27"/>
      <c r="I31" s="31">
        <f t="shared" si="4"/>
        <v>56044104</v>
      </c>
      <c r="J31" s="27">
        <v>72247411</v>
      </c>
    </row>
    <row r="32" spans="1:11" ht="16.5" customHeight="1">
      <c r="A32" s="45"/>
      <c r="B32" s="56" t="s">
        <v>20</v>
      </c>
      <c r="C32" s="32" t="s">
        <v>32</v>
      </c>
      <c r="D32" s="31">
        <f>SUM(J32)</f>
        <v>45671556</v>
      </c>
      <c r="E32" s="55" t="s">
        <v>91</v>
      </c>
      <c r="F32" s="24">
        <f>SUM(F33)</f>
        <v>598500</v>
      </c>
      <c r="G32" s="24">
        <f>SUM(G33)</f>
        <v>0</v>
      </c>
      <c r="H32" s="24">
        <f t="shared" ref="H32" si="8">SUM(H33)</f>
        <v>0</v>
      </c>
      <c r="I32" s="24">
        <f t="shared" ref="I32" si="9">SUM(I33)</f>
        <v>45073056</v>
      </c>
      <c r="J32" s="24">
        <f t="shared" ref="J32" si="10">SUM(J33)</f>
        <v>45671556</v>
      </c>
      <c r="K32" s="58"/>
    </row>
    <row r="33" spans="1:11" ht="16.5" customHeight="1">
      <c r="A33" s="45"/>
      <c r="B33" s="34"/>
      <c r="C33" s="35"/>
      <c r="D33" s="36"/>
      <c r="E33" s="26" t="s">
        <v>64</v>
      </c>
      <c r="F33" s="27">
        <v>598500</v>
      </c>
      <c r="G33" s="27"/>
      <c r="H33" s="27"/>
      <c r="I33" s="31">
        <f t="shared" ref="I33" si="11">J33-SUM(F33,G33,H33)</f>
        <v>45073056</v>
      </c>
      <c r="J33" s="27">
        <v>45671556</v>
      </c>
    </row>
    <row r="34" spans="1:11" ht="16.5" customHeight="1">
      <c r="A34" s="45"/>
      <c r="B34" s="57" t="s">
        <v>21</v>
      </c>
      <c r="C34" s="22" t="s">
        <v>33</v>
      </c>
      <c r="D34" s="23">
        <f>SUM(J34)</f>
        <v>65428882</v>
      </c>
      <c r="E34" s="55" t="s">
        <v>91</v>
      </c>
      <c r="F34" s="24">
        <f>SUM(F35:F36)</f>
        <v>9522105</v>
      </c>
      <c r="G34" s="24">
        <f t="shared" ref="G34:J34" si="12">SUM(G35:G36)</f>
        <v>0</v>
      </c>
      <c r="H34" s="24">
        <f t="shared" si="12"/>
        <v>0</v>
      </c>
      <c r="I34" s="24">
        <f t="shared" si="12"/>
        <v>55906777</v>
      </c>
      <c r="J34" s="24">
        <f t="shared" si="12"/>
        <v>65428882</v>
      </c>
      <c r="K34" s="58"/>
    </row>
    <row r="35" spans="1:11" ht="16.5" customHeight="1">
      <c r="A35" s="45"/>
      <c r="B35" s="21"/>
      <c r="C35" s="22" t="s">
        <v>67</v>
      </c>
      <c r="D35" s="25"/>
      <c r="E35" s="26" t="s">
        <v>65</v>
      </c>
      <c r="F35" s="27"/>
      <c r="G35" s="27"/>
      <c r="H35" s="27"/>
      <c r="I35" s="31">
        <f t="shared" ref="I35:I49" si="13">J35-SUM(F35,G35,H35)</f>
        <v>50641882</v>
      </c>
      <c r="J35" s="27">
        <v>50641882</v>
      </c>
    </row>
    <row r="36" spans="1:11" ht="16.5" customHeight="1">
      <c r="A36" s="48"/>
      <c r="B36" s="34"/>
      <c r="C36" s="35"/>
      <c r="D36" s="36"/>
      <c r="E36" s="26" t="s">
        <v>66</v>
      </c>
      <c r="F36" s="27">
        <v>9522105</v>
      </c>
      <c r="G36" s="27"/>
      <c r="H36" s="27"/>
      <c r="I36" s="24">
        <f t="shared" si="13"/>
        <v>5264895</v>
      </c>
      <c r="J36" s="27">
        <v>14787000</v>
      </c>
    </row>
    <row r="37" spans="1:11" ht="16.5" customHeight="1">
      <c r="A37" s="45" t="s">
        <v>18</v>
      </c>
      <c r="B37" s="51"/>
      <c r="C37" s="50"/>
      <c r="D37" s="44">
        <f>SUM(D38,D42,D45)</f>
        <v>33187427</v>
      </c>
      <c r="E37" s="43" t="s">
        <v>90</v>
      </c>
      <c r="F37" s="44">
        <f t="shared" ref="F37:J37" si="14">SUM(F38,F42,F45)</f>
        <v>2118000</v>
      </c>
      <c r="G37" s="44">
        <f t="shared" si="14"/>
        <v>0</v>
      </c>
      <c r="H37" s="44">
        <f t="shared" si="14"/>
        <v>12388259</v>
      </c>
      <c r="I37" s="44">
        <f t="shared" si="14"/>
        <v>18681168</v>
      </c>
      <c r="J37" s="44">
        <f t="shared" si="14"/>
        <v>33187427</v>
      </c>
      <c r="K37" s="58"/>
    </row>
    <row r="38" spans="1:11" ht="16.5" customHeight="1">
      <c r="A38" s="54"/>
      <c r="B38" s="56" t="s">
        <v>34</v>
      </c>
      <c r="C38" s="32" t="s">
        <v>37</v>
      </c>
      <c r="D38" s="33">
        <f>SUM(J38)</f>
        <v>9514582</v>
      </c>
      <c r="E38" s="55" t="s">
        <v>91</v>
      </c>
      <c r="F38" s="24">
        <f>SUM(F39:F41)</f>
        <v>1777000</v>
      </c>
      <c r="G38" s="24">
        <f t="shared" ref="G38:J38" si="15">SUM(G39:G41)</f>
        <v>0</v>
      </c>
      <c r="H38" s="24">
        <f t="shared" si="15"/>
        <v>5788503</v>
      </c>
      <c r="I38" s="24">
        <f t="shared" si="15"/>
        <v>1949079</v>
      </c>
      <c r="J38" s="24">
        <f t="shared" si="15"/>
        <v>9514582</v>
      </c>
      <c r="K38" s="58"/>
    </row>
    <row r="39" spans="1:11" ht="16.5" customHeight="1">
      <c r="A39" s="45"/>
      <c r="B39" s="40"/>
      <c r="C39" s="22" t="s">
        <v>72</v>
      </c>
      <c r="D39" s="25"/>
      <c r="E39" s="28" t="s">
        <v>78</v>
      </c>
      <c r="F39" s="27">
        <v>546000</v>
      </c>
      <c r="G39" s="27"/>
      <c r="H39" s="27">
        <v>27792</v>
      </c>
      <c r="I39" s="31">
        <f t="shared" si="13"/>
        <v>581331</v>
      </c>
      <c r="J39" s="27">
        <v>1155123</v>
      </c>
    </row>
    <row r="40" spans="1:11" ht="16.5" customHeight="1">
      <c r="A40" s="45"/>
      <c r="B40" s="40"/>
      <c r="C40" s="22" t="s">
        <v>73</v>
      </c>
      <c r="D40" s="25"/>
      <c r="E40" s="28" t="s">
        <v>79</v>
      </c>
      <c r="F40" s="27">
        <v>1231000</v>
      </c>
      <c r="G40" s="27"/>
      <c r="H40" s="27">
        <v>5760711</v>
      </c>
      <c r="I40" s="31">
        <f t="shared" si="13"/>
        <v>1367748</v>
      </c>
      <c r="J40" s="27">
        <v>8359459</v>
      </c>
    </row>
    <row r="41" spans="1:11" ht="16.5" customHeight="1">
      <c r="A41" s="45"/>
      <c r="B41" s="21"/>
      <c r="C41" s="22"/>
      <c r="D41" s="25"/>
      <c r="E41" s="28" t="s">
        <v>80</v>
      </c>
      <c r="F41" s="27"/>
      <c r="G41" s="27"/>
      <c r="H41" s="27"/>
      <c r="I41" s="31">
        <f t="shared" si="13"/>
        <v>0</v>
      </c>
      <c r="J41" s="27">
        <v>0</v>
      </c>
    </row>
    <row r="42" spans="1:11" ht="16.5" customHeight="1">
      <c r="A42" s="45"/>
      <c r="B42" s="56" t="s">
        <v>26</v>
      </c>
      <c r="C42" s="32" t="s">
        <v>35</v>
      </c>
      <c r="D42" s="33">
        <f>SUM(J42)</f>
        <v>6504509</v>
      </c>
      <c r="E42" s="55" t="s">
        <v>91</v>
      </c>
      <c r="F42" s="24">
        <f>SUM(F43:F44)</f>
        <v>0</v>
      </c>
      <c r="G42" s="24">
        <f t="shared" ref="G42:J42" si="16">SUM(G43:G44)</f>
        <v>0</v>
      </c>
      <c r="H42" s="24">
        <f t="shared" si="16"/>
        <v>150000</v>
      </c>
      <c r="I42" s="24">
        <f t="shared" si="16"/>
        <v>6354509</v>
      </c>
      <c r="J42" s="24">
        <f t="shared" si="16"/>
        <v>6504509</v>
      </c>
      <c r="K42" s="58"/>
    </row>
    <row r="43" spans="1:11" ht="16.5" customHeight="1">
      <c r="A43" s="45"/>
      <c r="B43" s="21"/>
      <c r="C43" s="22" t="s">
        <v>74</v>
      </c>
      <c r="D43" s="25"/>
      <c r="E43" s="28" t="s">
        <v>81</v>
      </c>
      <c r="F43" s="27"/>
      <c r="G43" s="27"/>
      <c r="H43" s="27"/>
      <c r="I43" s="31">
        <f t="shared" si="13"/>
        <v>466812</v>
      </c>
      <c r="J43" s="27">
        <v>466812</v>
      </c>
    </row>
    <row r="44" spans="1:11" ht="16.5" customHeight="1">
      <c r="A44" s="45"/>
      <c r="B44" s="34"/>
      <c r="C44" s="35"/>
      <c r="D44" s="36"/>
      <c r="E44" s="28" t="s">
        <v>82</v>
      </c>
      <c r="F44" s="27"/>
      <c r="G44" s="27"/>
      <c r="H44" s="27">
        <v>150000</v>
      </c>
      <c r="I44" s="31">
        <f t="shared" si="13"/>
        <v>5887697</v>
      </c>
      <c r="J44" s="27">
        <v>6037697</v>
      </c>
    </row>
    <row r="45" spans="1:11" ht="16.5" customHeight="1">
      <c r="A45" s="45"/>
      <c r="B45" s="57" t="s">
        <v>27</v>
      </c>
      <c r="C45" s="22" t="s">
        <v>36</v>
      </c>
      <c r="D45" s="23">
        <f>SUM(J45)</f>
        <v>17168336</v>
      </c>
      <c r="E45" s="55" t="s">
        <v>91</v>
      </c>
      <c r="F45" s="24">
        <f>SUM(F46:F49)</f>
        <v>341000</v>
      </c>
      <c r="G45" s="24">
        <f t="shared" ref="G45:J45" si="17">SUM(G46:G49)</f>
        <v>0</v>
      </c>
      <c r="H45" s="24">
        <f t="shared" si="17"/>
        <v>6449756</v>
      </c>
      <c r="I45" s="24">
        <f t="shared" si="17"/>
        <v>10377580</v>
      </c>
      <c r="J45" s="24">
        <f t="shared" si="17"/>
        <v>17168336</v>
      </c>
      <c r="K45" s="58"/>
    </row>
    <row r="46" spans="1:11" ht="16.5" customHeight="1">
      <c r="A46" s="45"/>
      <c r="B46" s="21"/>
      <c r="C46" s="22" t="s">
        <v>75</v>
      </c>
      <c r="D46" s="25"/>
      <c r="E46" s="28" t="s">
        <v>83</v>
      </c>
      <c r="F46" s="27">
        <v>20000</v>
      </c>
      <c r="G46" s="27"/>
      <c r="H46" s="27">
        <v>933500</v>
      </c>
      <c r="I46" s="31">
        <f t="shared" si="13"/>
        <v>3281826</v>
      </c>
      <c r="J46" s="27">
        <v>4235326</v>
      </c>
    </row>
    <row r="47" spans="1:11" ht="16.5" customHeight="1">
      <c r="A47" s="45"/>
      <c r="B47" s="21"/>
      <c r="C47" s="22" t="s">
        <v>76</v>
      </c>
      <c r="D47" s="25"/>
      <c r="E47" s="28" t="s">
        <v>84</v>
      </c>
      <c r="F47" s="27"/>
      <c r="G47" s="27"/>
      <c r="H47" s="27"/>
      <c r="I47" s="31">
        <f t="shared" si="13"/>
        <v>2433429</v>
      </c>
      <c r="J47" s="27">
        <v>2433429</v>
      </c>
    </row>
    <row r="48" spans="1:11" ht="16.5" customHeight="1">
      <c r="A48" s="45"/>
      <c r="B48" s="21"/>
      <c r="C48" s="22" t="s">
        <v>77</v>
      </c>
      <c r="D48" s="25"/>
      <c r="E48" s="28" t="s">
        <v>85</v>
      </c>
      <c r="F48" s="27">
        <v>321000</v>
      </c>
      <c r="G48" s="27"/>
      <c r="H48" s="27">
        <v>5416256</v>
      </c>
      <c r="I48" s="31">
        <f t="shared" si="13"/>
        <v>3787325</v>
      </c>
      <c r="J48" s="27">
        <v>9524581</v>
      </c>
    </row>
    <row r="49" spans="1:11" ht="16.5" customHeight="1">
      <c r="A49" s="48"/>
      <c r="B49" s="34"/>
      <c r="C49" s="35"/>
      <c r="D49" s="36"/>
      <c r="E49" s="28" t="s">
        <v>86</v>
      </c>
      <c r="F49" s="27"/>
      <c r="G49" s="27"/>
      <c r="H49" s="27">
        <v>100000</v>
      </c>
      <c r="I49" s="24">
        <f t="shared" si="13"/>
        <v>875000</v>
      </c>
      <c r="J49" s="27">
        <v>975000</v>
      </c>
    </row>
    <row r="50" spans="1:11" ht="16.5" customHeight="1">
      <c r="A50" s="164" t="s">
        <v>92</v>
      </c>
      <c r="B50" s="164"/>
      <c r="C50" s="164"/>
      <c r="D50" s="52">
        <f>SUM(D4,D29,D37)</f>
        <v>522380198</v>
      </c>
      <c r="E50" s="53"/>
      <c r="F50" s="52">
        <f>SUM(F4,F29,F37)</f>
        <v>179256375</v>
      </c>
      <c r="G50" s="52">
        <f t="shared" ref="G50:J50" si="18">SUM(G4,G29,G37)</f>
        <v>1000000</v>
      </c>
      <c r="H50" s="52">
        <f t="shared" si="18"/>
        <v>23934037</v>
      </c>
      <c r="I50" s="52">
        <f t="shared" si="18"/>
        <v>318189786</v>
      </c>
      <c r="J50" s="52">
        <f t="shared" si="18"/>
        <v>522380198</v>
      </c>
      <c r="K50" s="58"/>
    </row>
  </sheetData>
  <mergeCells count="1">
    <mergeCell ref="A50:C50"/>
  </mergeCells>
  <phoneticPr fontId="2"/>
  <pageMargins left="0.7" right="0.7" top="0.75" bottom="0.75" header="0.3" footer="0.3"/>
  <pageSetup paperSize="9" scale="63" fitToHeight="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23</vt:i4>
      </vt:variant>
      <vt:variant>
        <vt:lpstr>名前付き一覧</vt:lpstr>
      </vt:variant>
      <vt:variant>
        <vt:i4>15</vt:i4>
      </vt:variant>
    </vt:vector>
  </HeadingPairs>
  <TitlesOfParts>
    <vt:vector size="38" baseType="lpstr">
      <vt:lpstr>リスト</vt:lpstr>
      <vt:lpstr>R07決算</vt:lpstr>
      <vt:lpstr>R07決算内訳</vt:lpstr>
      <vt:lpstr>以下参考⇒</vt:lpstr>
      <vt:lpstr>R06決算</vt:lpstr>
      <vt:lpstr>R06決算内訳</vt:lpstr>
      <vt:lpstr>R05決算</vt:lpstr>
      <vt:lpstr>R05決算内訳</vt:lpstr>
      <vt:lpstr>R04決算</vt:lpstr>
      <vt:lpstr>R04決算内訳</vt:lpstr>
      <vt:lpstr>R03決算</vt:lpstr>
      <vt:lpstr>R03決算内訳</vt:lpstr>
      <vt:lpstr>R02決算</vt:lpstr>
      <vt:lpstr>R02決算内訳</vt:lpstr>
      <vt:lpstr>R01決算</vt:lpstr>
      <vt:lpstr>R01決算内訳</vt:lpstr>
      <vt:lpstr>H30決算</vt:lpstr>
      <vt:lpstr>H30決算内訳</vt:lpstr>
      <vt:lpstr>H29決算</vt:lpstr>
      <vt:lpstr>H29決算内訳</vt:lpstr>
      <vt:lpstr>H28決算</vt:lpstr>
      <vt:lpstr>H28決算内訳</vt:lpstr>
      <vt:lpstr>Sheet3</vt:lpstr>
      <vt:lpstr>H28決算!Print_Area</vt:lpstr>
      <vt:lpstr>H29決算!Print_Area</vt:lpstr>
      <vt:lpstr>H30決算!Print_Area</vt:lpstr>
      <vt:lpstr>'R01決算'!Print_Area</vt:lpstr>
      <vt:lpstr>'R02決算'!Print_Area</vt:lpstr>
      <vt:lpstr>'R03決算'!Print_Area</vt:lpstr>
      <vt:lpstr>'R04決算'!Print_Area</vt:lpstr>
      <vt:lpstr>'R05決算'!Print_Area</vt:lpstr>
      <vt:lpstr>'R06決算'!Print_Area</vt:lpstr>
      <vt:lpstr>'R07決算'!Print_Area</vt:lpstr>
      <vt:lpstr>'R07決算内訳'!Print_Area</vt:lpstr>
      <vt:lpstr>見出し</vt:lpstr>
      <vt:lpstr>年度</vt:lpstr>
      <vt:lpstr>年度２</vt:lpstr>
      <vt:lpstr>列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税務財政課３</dc:creator>
  <cp:lastModifiedBy> </cp:lastModifiedBy>
  <cp:lastPrinted>2026-08-07T06:43:15Z</cp:lastPrinted>
  <dcterms:created xsi:type="dcterms:W3CDTF">2017-02-14T07:26:29Z</dcterms:created>
  <dcterms:modified xsi:type="dcterms:W3CDTF">2026-08-07T07:12:57Z</dcterms:modified>
</cp:coreProperties>
</file>